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24.xml" ContentType="application/vnd.openxmlformats-officedocument.spreadsheetml.worksheet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8.xml" ContentType="application/vnd.openxmlformats-officedocument.drawing+xml"/>
  <Override PartName="/xl/drawings/drawing19.xml" ContentType="application/vnd.openxmlformats-officedocument.drawing+xml"/>
  <Override PartName="/xl/charts/chart4.xml" ContentType="application/vnd.openxmlformats-officedocument.drawingml.chart+xml"/>
  <Override PartName="/xl/worksheets/sheet7.xml" ContentType="application/vnd.openxmlformats-officedocument.spreadsheetml.worksheet+xml"/>
  <Override PartName="/xl/worksheets/sheet11.xml" ContentType="application/vnd.openxmlformats-officedocument.spreadsheetml.worksheet+xml"/>
  <Override PartName="/xl/worksheets/sheet20.xml" ContentType="application/vnd.openxmlformats-officedocument.spreadsheetml.worksheet+xml"/>
  <Override PartName="/xl/drawings/drawing4.xml" ContentType="application/vnd.openxmlformats-officedocument.drawing+xml"/>
  <Override PartName="/xl/drawings/drawing17.xml" ContentType="application/vnd.openxmlformats-officedocument.drawing+xml"/>
  <Override PartName="/xl/charts/chart2.xml" ContentType="application/vnd.openxmlformats-officedocument.drawingml.chart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0.xml" ContentType="application/vnd.openxmlformats-officedocument.drawing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26.xml" ContentType="application/vnd.openxmlformats-officedocument.spreadsheetml.worksheet+xml"/>
  <Override PartName="/docProps/core.xml" ContentType="application/vnd.openxmlformats-package.core-properties+xml"/>
  <Override PartName="/xl/worksheets/sheet16.xml" ContentType="application/vnd.openxmlformats-officedocument.spreadsheetml.worksheet+xml"/>
  <Override PartName="/xl/worksheets/sheet25.xml" ContentType="application/vnd.openxmlformats-officedocument.spreadsheetml.worksheet+xml"/>
  <Default Extension="png" ContentType="image/png"/>
  <Override PartName="/xl/drawings/drawing9.xml" ContentType="application/vnd.openxmlformats-officedocument.drawing+xml"/>
  <Override PartName="/xl/worksheets/sheet14.xml" ContentType="application/vnd.openxmlformats-officedocument.spreadsheetml.worksheet+xml"/>
  <Override PartName="/xl/worksheets/sheet23.xml" ContentType="application/vnd.openxmlformats-officedocument.spreadsheetml.worksheet+xml"/>
  <Override PartName="/xl/drawings/drawing7.xml" ContentType="application/vnd.openxmlformats-officedocument.drawing+xml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21.xml" ContentType="application/vnd.openxmlformats-officedocument.spreadsheetml.worksheet+xml"/>
  <Override PartName="/xl/drawings/drawing5.xml" ContentType="application/vnd.openxmlformats-officedocument.drawing+xml"/>
  <Override PartName="/xl/drawings/drawing18.xml" ContentType="application/vnd.openxmlformats-officedocument.drawing+xml"/>
  <Override PartName="/xl/charts/chart3.xml" ContentType="application/vnd.openxmlformats-officedocument.drawingml.chart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0" yWindow="0" windowWidth="16380" windowHeight="8190" tabRatio="500" firstSheet="22" activeTab="25"/>
  </bookViews>
  <sheets>
    <sheet name="отделение корня" sheetId="1" r:id="rId1"/>
    <sheet name="делен пополам" sheetId="2" r:id="rId2"/>
    <sheet name="метод итераций" sheetId="3" r:id="rId3"/>
    <sheet name="метод хорд" sheetId="4" r:id="rId4"/>
    <sheet name="касательных" sheetId="5" r:id="rId5"/>
    <sheet name="метод гаусса 4 порядка" sheetId="6" r:id="rId6"/>
    <sheet name="гаусса 3 порядка" sheetId="7" r:id="rId7"/>
    <sheet name="гаусса 3 порядка (2)" sheetId="9" r:id="rId8"/>
    <sheet name="метод якоби" sheetId="10" r:id="rId9"/>
    <sheet name="метод зейделя" sheetId="11" r:id="rId10"/>
    <sheet name="метод зейделя (2)" sheetId="12" r:id="rId11"/>
    <sheet name="метод якоби (2)" sheetId="13" r:id="rId12"/>
    <sheet name="лагранжа" sheetId="14" r:id="rId13"/>
    <sheet name="ньютона" sheetId="15" r:id="rId14"/>
    <sheet name="лагранжа (2)" sheetId="16" r:id="rId15"/>
    <sheet name="ньютона (2)" sheetId="17" r:id="rId16"/>
    <sheet name="метод трапеций (10)" sheetId="18" r:id="rId17"/>
    <sheet name="метод трапеций (20)" sheetId="20" r:id="rId18"/>
    <sheet name="метод трапеций (2) (10)" sheetId="19" r:id="rId19"/>
    <sheet name="метод трапеций (2) (20)" sheetId="21" r:id="rId20"/>
    <sheet name="Метод гаусса" sheetId="22" r:id="rId21"/>
    <sheet name="Метод гаусса (2)" sheetId="23" r:id="rId22"/>
    <sheet name="Метод Эйлера" sheetId="24" r:id="rId23"/>
    <sheet name="Барон" sheetId="25" r:id="rId24"/>
    <sheet name="Барон уточн Эйлера" sheetId="27" r:id="rId25"/>
    <sheet name="Барон уточн Эйлера (2)" sheetId="28" r:id="rId26"/>
  </sheets>
  <externalReferences>
    <externalReference r:id="rId27"/>
  </externalReferences>
  <calcPr calcId="125725"/>
  <extLs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D2" i="28"/>
  <c r="E3"/>
  <c r="C3"/>
  <c r="E5"/>
  <c r="E6"/>
  <c r="E4"/>
  <c r="H3"/>
  <c r="E12" i="27"/>
  <c r="E4"/>
  <c r="E5"/>
  <c r="H3"/>
  <c r="D2"/>
  <c r="D3" i="28"/>
  <c r="D4"/>
  <c r="D5"/>
  <c r="D6"/>
  <c r="D7"/>
  <c r="D8"/>
  <c r="D9"/>
  <c r="D10"/>
  <c r="D11"/>
  <c r="D12"/>
  <c r="C4"/>
  <c r="C5" s="1"/>
  <c r="C6" s="1"/>
  <c r="C7" s="1"/>
  <c r="C8" s="1"/>
  <c r="C9" s="1"/>
  <c r="C10" s="1"/>
  <c r="C11" s="1"/>
  <c r="C12" s="1"/>
  <c r="C3" i="25"/>
  <c r="B3" i="28"/>
  <c r="B4" s="1"/>
  <c r="C3" i="27"/>
  <c r="E3"/>
  <c r="B4"/>
  <c r="B5" s="1"/>
  <c r="C4"/>
  <c r="C5" s="1"/>
  <c r="C6" s="1"/>
  <c r="B3"/>
  <c r="E7" i="28" l="1"/>
  <c r="E8" s="1"/>
  <c r="B5"/>
  <c r="B6" i="27"/>
  <c r="D5"/>
  <c r="C7"/>
  <c r="E6"/>
  <c r="D4"/>
  <c r="D3"/>
  <c r="E10" i="28" l="1"/>
  <c r="E9"/>
  <c r="B6"/>
  <c r="B7" i="27"/>
  <c r="D6"/>
  <c r="E7"/>
  <c r="C8"/>
  <c r="E12" i="28" l="1"/>
  <c r="E11"/>
  <c r="B7"/>
  <c r="B8" i="27"/>
  <c r="D7"/>
  <c r="C9"/>
  <c r="E8"/>
  <c r="B8" i="28" l="1"/>
  <c r="B9" i="27"/>
  <c r="D8"/>
  <c r="C10"/>
  <c r="E10"/>
  <c r="E9"/>
  <c r="B9" i="28" l="1"/>
  <c r="B10" i="27"/>
  <c r="D9"/>
  <c r="E11"/>
  <c r="C11"/>
  <c r="B10" i="28" l="1"/>
  <c r="B11" i="27"/>
  <c r="D10"/>
  <c r="C12"/>
  <c r="B11" i="28" l="1"/>
  <c r="B12" i="27"/>
  <c r="D12" s="1"/>
  <c r="D11"/>
  <c r="B12" i="28" l="1"/>
  <c r="D3" i="25"/>
  <c r="D4"/>
  <c r="D5"/>
  <c r="D6"/>
  <c r="D7"/>
  <c r="D8"/>
  <c r="D9"/>
  <c r="D10"/>
  <c r="D11"/>
  <c r="D12"/>
  <c r="D2"/>
  <c r="C4"/>
  <c r="C5" s="1"/>
  <c r="C6" s="1"/>
  <c r="C7" s="1"/>
  <c r="C8" s="1"/>
  <c r="C9" s="1"/>
  <c r="C10" s="1"/>
  <c r="C11" s="1"/>
  <c r="C12" s="1"/>
  <c r="B4"/>
  <c r="B5" s="1"/>
  <c r="B6" s="1"/>
  <c r="B7" s="1"/>
  <c r="B8" s="1"/>
  <c r="B9" s="1"/>
  <c r="B10" s="1"/>
  <c r="B11" s="1"/>
  <c r="B12" s="1"/>
  <c r="B3"/>
  <c r="C4" i="24"/>
  <c r="D4"/>
  <c r="E4"/>
  <c r="F4"/>
  <c r="G4"/>
  <c r="D3"/>
  <c r="E3" s="1"/>
  <c r="F3" s="1"/>
  <c r="G3" s="1"/>
  <c r="C3"/>
  <c r="B3"/>
  <c r="G2"/>
  <c r="D2"/>
  <c r="E2" s="1"/>
  <c r="F2" s="1"/>
  <c r="C2"/>
  <c r="B4"/>
  <c r="E14" i="23"/>
  <c r="E27"/>
  <c r="E32"/>
  <c r="E31"/>
  <c r="F15"/>
  <c r="F16"/>
  <c r="F17"/>
  <c r="F18"/>
  <c r="F19"/>
  <c r="F20"/>
  <c r="F21"/>
  <c r="F22"/>
  <c r="F23"/>
  <c r="F14"/>
  <c r="E15"/>
  <c r="E16"/>
  <c r="E17"/>
  <c r="E18"/>
  <c r="E19"/>
  <c r="E20"/>
  <c r="E21"/>
  <c r="E22"/>
  <c r="E23"/>
  <c r="I16" i="22"/>
  <c r="D14" s="1"/>
  <c r="F14" s="1"/>
  <c r="I16" i="23"/>
  <c r="I4" i="22"/>
  <c r="I4" i="23"/>
  <c r="B3"/>
  <c r="B15"/>
  <c r="B2"/>
  <c r="C14"/>
  <c r="B14"/>
  <c r="C14" i="22"/>
  <c r="E14" s="1"/>
  <c r="B15"/>
  <c r="C15" s="1"/>
  <c r="E15" s="1"/>
  <c r="B14"/>
  <c r="F3"/>
  <c r="D2"/>
  <c r="F2" s="1"/>
  <c r="C2"/>
  <c r="E2" s="1"/>
  <c r="B3"/>
  <c r="D3" s="1"/>
  <c r="B2"/>
  <c r="B2" i="21"/>
  <c r="C2"/>
  <c r="K10"/>
  <c r="K13" s="1"/>
  <c r="J1"/>
  <c r="B3" s="1"/>
  <c r="C3" s="1"/>
  <c r="K13" i="20"/>
  <c r="K12"/>
  <c r="R17" i="18"/>
  <c r="K10" i="20"/>
  <c r="K9"/>
  <c r="G26"/>
  <c r="F26"/>
  <c r="J16" i="18"/>
  <c r="B2" i="20"/>
  <c r="C2"/>
  <c r="F2"/>
  <c r="J1"/>
  <c r="G2"/>
  <c r="B3"/>
  <c r="D2" i="19"/>
  <c r="E2"/>
  <c r="E3"/>
  <c r="E4"/>
  <c r="E5"/>
  <c r="E6"/>
  <c r="E7"/>
  <c r="E8"/>
  <c r="E9"/>
  <c r="E10"/>
  <c r="E11"/>
  <c r="E12"/>
  <c r="D3"/>
  <c r="D4"/>
  <c r="D5"/>
  <c r="D6"/>
  <c r="D7"/>
  <c r="D8"/>
  <c r="D9"/>
  <c r="D10"/>
  <c r="D11"/>
  <c r="D12"/>
  <c r="B2"/>
  <c r="B3" s="1"/>
  <c r="Q1"/>
  <c r="L3" i="18"/>
  <c r="L4"/>
  <c r="L5"/>
  <c r="L6"/>
  <c r="L7"/>
  <c r="L8"/>
  <c r="L9"/>
  <c r="L10"/>
  <c r="L11"/>
  <c r="L12"/>
  <c r="L2"/>
  <c r="L13" s="1"/>
  <c r="N12"/>
  <c r="N11"/>
  <c r="N10"/>
  <c r="N9"/>
  <c r="N8"/>
  <c r="N7"/>
  <c r="N6"/>
  <c r="N5"/>
  <c r="N4"/>
  <c r="N3"/>
  <c r="N2"/>
  <c r="M3"/>
  <c r="M4"/>
  <c r="M13" s="1"/>
  <c r="M5"/>
  <c r="M6"/>
  <c r="M7"/>
  <c r="M8"/>
  <c r="M9"/>
  <c r="M10"/>
  <c r="M11"/>
  <c r="M12"/>
  <c r="M2"/>
  <c r="K2"/>
  <c r="K3"/>
  <c r="K4"/>
  <c r="K5"/>
  <c r="K6"/>
  <c r="K7"/>
  <c r="K8"/>
  <c r="K9"/>
  <c r="K10"/>
  <c r="K11"/>
  <c r="K12"/>
  <c r="J3"/>
  <c r="J4"/>
  <c r="J5"/>
  <c r="J6"/>
  <c r="J7"/>
  <c r="J8"/>
  <c r="J9"/>
  <c r="J10"/>
  <c r="J11"/>
  <c r="J12"/>
  <c r="J2"/>
  <c r="E3"/>
  <c r="E4"/>
  <c r="E5"/>
  <c r="E6"/>
  <c r="E7"/>
  <c r="E8"/>
  <c r="E9"/>
  <c r="E10"/>
  <c r="E11"/>
  <c r="E12"/>
  <c r="E2"/>
  <c r="D3"/>
  <c r="D4"/>
  <c r="D5"/>
  <c r="D6"/>
  <c r="D7"/>
  <c r="D8"/>
  <c r="D9"/>
  <c r="D10"/>
  <c r="D11"/>
  <c r="D12"/>
  <c r="D2"/>
  <c r="C3"/>
  <c r="C4"/>
  <c r="C5"/>
  <c r="C6"/>
  <c r="C7"/>
  <c r="C8"/>
  <c r="C9"/>
  <c r="C10"/>
  <c r="C11"/>
  <c r="C12"/>
  <c r="C2"/>
  <c r="B4"/>
  <c r="B5" s="1"/>
  <c r="B6" s="1"/>
  <c r="B7" s="1"/>
  <c r="B8" s="1"/>
  <c r="B9" s="1"/>
  <c r="B10" s="1"/>
  <c r="B11" s="1"/>
  <c r="B12" s="1"/>
  <c r="B3"/>
  <c r="Q1"/>
  <c r="B2"/>
  <c r="K13"/>
  <c r="J13"/>
  <c r="D5" i="17"/>
  <c r="E4" s="1"/>
  <c r="D4"/>
  <c r="E3"/>
  <c r="D3"/>
  <c r="E2"/>
  <c r="D2"/>
  <c r="G8" i="16"/>
  <c r="E8"/>
  <c r="D8"/>
  <c r="C8"/>
  <c r="B8"/>
  <c r="F8" s="1"/>
  <c r="H8" s="1"/>
  <c r="G7"/>
  <c r="E7"/>
  <c r="D7"/>
  <c r="C7"/>
  <c r="B7"/>
  <c r="G6"/>
  <c r="E6"/>
  <c r="D6"/>
  <c r="C6"/>
  <c r="B6"/>
  <c r="F6" s="1"/>
  <c r="H6" s="1"/>
  <c r="G5"/>
  <c r="E5"/>
  <c r="D5"/>
  <c r="C5"/>
  <c r="B5"/>
  <c r="F9" s="1"/>
  <c r="G2" i="15"/>
  <c r="F3"/>
  <c r="F2"/>
  <c r="E3"/>
  <c r="E4"/>
  <c r="E2"/>
  <c r="D3"/>
  <c r="D4"/>
  <c r="D5"/>
  <c r="D2"/>
  <c r="B10" i="14"/>
  <c r="F9"/>
  <c r="E8"/>
  <c r="H9"/>
  <c r="H6"/>
  <c r="H7"/>
  <c r="H8"/>
  <c r="H5"/>
  <c r="G8"/>
  <c r="G7"/>
  <c r="G6"/>
  <c r="G5"/>
  <c r="F5"/>
  <c r="F6"/>
  <c r="F7"/>
  <c r="F8"/>
  <c r="D8"/>
  <c r="C8"/>
  <c r="B8"/>
  <c r="E7"/>
  <c r="D7"/>
  <c r="C7"/>
  <c r="B7"/>
  <c r="E6"/>
  <c r="D6"/>
  <c r="C6"/>
  <c r="B6"/>
  <c r="E5"/>
  <c r="D5"/>
  <c r="C5"/>
  <c r="B5"/>
  <c r="B9" i="12"/>
  <c r="C9"/>
  <c r="A9"/>
  <c r="B9" i="13"/>
  <c r="C9"/>
  <c r="F9" s="1"/>
  <c r="A9"/>
  <c r="D9" i="12"/>
  <c r="A10" i="11"/>
  <c r="B10"/>
  <c r="C9"/>
  <c r="F9"/>
  <c r="B9"/>
  <c r="A9"/>
  <c r="G29" i="10"/>
  <c r="G30"/>
  <c r="G31"/>
  <c r="G32"/>
  <c r="G33"/>
  <c r="F29"/>
  <c r="F30"/>
  <c r="F31"/>
  <c r="F32"/>
  <c r="F33"/>
  <c r="E29"/>
  <c r="E30"/>
  <c r="E31"/>
  <c r="E32"/>
  <c r="E33"/>
  <c r="D29"/>
  <c r="D30"/>
  <c r="D31"/>
  <c r="D32"/>
  <c r="D33"/>
  <c r="C29"/>
  <c r="C30"/>
  <c r="B29"/>
  <c r="B30"/>
  <c r="A31" s="1"/>
  <c r="A29"/>
  <c r="A30"/>
  <c r="B31" s="1"/>
  <c r="A10"/>
  <c r="A11"/>
  <c r="B10"/>
  <c r="B11"/>
  <c r="A12" s="1"/>
  <c r="C10"/>
  <c r="C11"/>
  <c r="C9"/>
  <c r="D10" s="1"/>
  <c r="B9"/>
  <c r="A9"/>
  <c r="E9"/>
  <c r="F9"/>
  <c r="D9"/>
  <c r="G9" s="1"/>
  <c r="B12"/>
  <c r="E12" i="9"/>
  <c r="E5"/>
  <c r="D5"/>
  <c r="C5"/>
  <c r="B5"/>
  <c r="E6"/>
  <c r="D7"/>
  <c r="C6"/>
  <c r="C8" s="1"/>
  <c r="E15" i="6"/>
  <c r="D13"/>
  <c r="C10"/>
  <c r="B6"/>
  <c r="F20"/>
  <c r="F19"/>
  <c r="F18"/>
  <c r="F17"/>
  <c r="F15"/>
  <c r="F14"/>
  <c r="E14"/>
  <c r="F13"/>
  <c r="E13"/>
  <c r="F12"/>
  <c r="F11"/>
  <c r="E12"/>
  <c r="E11"/>
  <c r="D12"/>
  <c r="D11"/>
  <c r="E10"/>
  <c r="F10"/>
  <c r="D10"/>
  <c r="F8"/>
  <c r="F9"/>
  <c r="F7"/>
  <c r="E8"/>
  <c r="E9"/>
  <c r="E7"/>
  <c r="D7"/>
  <c r="D8"/>
  <c r="D9"/>
  <c r="C7"/>
  <c r="C8"/>
  <c r="C9"/>
  <c r="F6"/>
  <c r="E6"/>
  <c r="D6"/>
  <c r="C6"/>
  <c r="C2"/>
  <c r="D16" i="5"/>
  <c r="D15"/>
  <c r="C15"/>
  <c r="D11"/>
  <c r="E11" s="1"/>
  <c r="D10"/>
  <c r="C11"/>
  <c r="C10"/>
  <c r="E10" s="1"/>
  <c r="F3" i="1"/>
  <c r="F4"/>
  <c r="F5"/>
  <c r="F6"/>
  <c r="F7"/>
  <c r="F8"/>
  <c r="F9"/>
  <c r="F10"/>
  <c r="F2"/>
  <c r="F14" i="4"/>
  <c r="F15"/>
  <c r="F16"/>
  <c r="F17"/>
  <c r="E14"/>
  <c r="F13"/>
  <c r="E13"/>
  <c r="D9"/>
  <c r="E9" s="1"/>
  <c r="D8"/>
  <c r="C9"/>
  <c r="C8"/>
  <c r="A15" i="5"/>
  <c r="B14" i="4"/>
  <c r="B15"/>
  <c r="B16"/>
  <c r="B17"/>
  <c r="A13"/>
  <c r="B13"/>
  <c r="F10"/>
  <c r="D10"/>
  <c r="A10" i="3"/>
  <c r="A11" s="1"/>
  <c r="A12" s="1"/>
  <c r="A13" s="1"/>
  <c r="A14" s="1"/>
  <c r="C10"/>
  <c r="B10" s="1"/>
  <c r="C3"/>
  <c r="B3" s="1"/>
  <c r="C4" s="1"/>
  <c r="AM7" i="1"/>
  <c r="I5" i="2"/>
  <c r="H5"/>
  <c r="G5"/>
  <c r="I4"/>
  <c r="H4"/>
  <c r="G4"/>
  <c r="AM8" i="1"/>
  <c r="AM9"/>
  <c r="AM10"/>
  <c r="AM11"/>
  <c r="AM12"/>
  <c r="AM13"/>
  <c r="AM14"/>
  <c r="AM15"/>
  <c r="A7" i="2"/>
  <c r="A8"/>
  <c r="A9"/>
  <c r="A10"/>
  <c r="A11"/>
  <c r="A12"/>
  <c r="A13"/>
  <c r="A14"/>
  <c r="A15"/>
  <c r="A16"/>
  <c r="A17"/>
  <c r="A18"/>
  <c r="A4" i="3"/>
  <c r="A5" s="1"/>
  <c r="A6" s="1"/>
  <c r="A7" s="1"/>
  <c r="A8" s="1"/>
  <c r="A9" s="1"/>
  <c r="A3"/>
  <c r="A6" i="2"/>
  <c r="A5"/>
  <c r="E4"/>
  <c r="F4" s="1"/>
  <c r="D4"/>
  <c r="D15" i="22" l="1"/>
  <c r="F15" s="1"/>
  <c r="B16"/>
  <c r="B4" i="23"/>
  <c r="D14"/>
  <c r="D3"/>
  <c r="F3" s="1"/>
  <c r="C3"/>
  <c r="E3" s="1"/>
  <c r="D2"/>
  <c r="F2" s="1"/>
  <c r="C2"/>
  <c r="E2" s="1"/>
  <c r="C3" i="22"/>
  <c r="E3" s="1"/>
  <c r="B4"/>
  <c r="F2" i="21"/>
  <c r="B4"/>
  <c r="C4" s="1"/>
  <c r="B4" i="20"/>
  <c r="C3"/>
  <c r="F3" s="1"/>
  <c r="B4" i="19"/>
  <c r="C3"/>
  <c r="L3" s="1"/>
  <c r="C2"/>
  <c r="L2" s="1"/>
  <c r="N13" i="18"/>
  <c r="N16" s="1"/>
  <c r="R14" s="1"/>
  <c r="R21" s="1"/>
  <c r="M16"/>
  <c r="R13" s="1"/>
  <c r="R20" s="1"/>
  <c r="L16"/>
  <c r="R12" s="1"/>
  <c r="R19" s="1"/>
  <c r="R10"/>
  <c r="K16"/>
  <c r="R11" s="1"/>
  <c r="R18" s="1"/>
  <c r="F3" i="17"/>
  <c r="F2"/>
  <c r="F7" i="16"/>
  <c r="H7" s="1"/>
  <c r="F5"/>
  <c r="H5" s="1"/>
  <c r="C10" i="13"/>
  <c r="F10" s="1"/>
  <c r="A10"/>
  <c r="E9"/>
  <c r="B10"/>
  <c r="D9"/>
  <c r="G9" s="1"/>
  <c r="A11" i="11"/>
  <c r="C10"/>
  <c r="F10"/>
  <c r="D10"/>
  <c r="E9"/>
  <c r="D9"/>
  <c r="G9" s="1"/>
  <c r="B32" i="10"/>
  <c r="A33" s="1"/>
  <c r="C32"/>
  <c r="A32"/>
  <c r="C31"/>
  <c r="A13"/>
  <c r="D11"/>
  <c r="F10"/>
  <c r="E10"/>
  <c r="F11"/>
  <c r="C12"/>
  <c r="E8" i="9"/>
  <c r="D6"/>
  <c r="D8" s="1"/>
  <c r="C7"/>
  <c r="E7"/>
  <c r="B5" i="7"/>
  <c r="E5"/>
  <c r="B15" i="5"/>
  <c r="A16" s="1"/>
  <c r="C13" i="4"/>
  <c r="E8"/>
  <c r="B11" i="3"/>
  <c r="C12" s="1"/>
  <c r="C11"/>
  <c r="E10"/>
  <c r="F10" s="1"/>
  <c r="B12"/>
  <c r="C13" s="1"/>
  <c r="C5" i="2"/>
  <c r="B5"/>
  <c r="E3" i="3"/>
  <c r="F3" s="1"/>
  <c r="B17" i="22" l="1"/>
  <c r="D16"/>
  <c r="F16" s="1"/>
  <c r="C16"/>
  <c r="E16" s="1"/>
  <c r="B16" i="23"/>
  <c r="C15"/>
  <c r="D15"/>
  <c r="C4"/>
  <c r="E4" s="1"/>
  <c r="B5"/>
  <c r="D4"/>
  <c r="F4" s="1"/>
  <c r="B5" i="22"/>
  <c r="C4"/>
  <c r="E4" s="1"/>
  <c r="D4"/>
  <c r="F4" s="1"/>
  <c r="G2" i="21"/>
  <c r="B5"/>
  <c r="C5" s="1"/>
  <c r="F3"/>
  <c r="G3"/>
  <c r="G3" i="20"/>
  <c r="C4"/>
  <c r="F4" s="1"/>
  <c r="B5"/>
  <c r="N3" i="19"/>
  <c r="J3"/>
  <c r="M3"/>
  <c r="K3"/>
  <c r="M2"/>
  <c r="K2"/>
  <c r="N2"/>
  <c r="J2"/>
  <c r="B5"/>
  <c r="C4"/>
  <c r="L4" s="1"/>
  <c r="G2" i="17"/>
  <c r="H9" i="16"/>
  <c r="B10" s="1"/>
  <c r="B11" i="13"/>
  <c r="D10"/>
  <c r="E10"/>
  <c r="A11"/>
  <c r="G10"/>
  <c r="C11"/>
  <c r="F11" s="1"/>
  <c r="E10" i="11"/>
  <c r="G10" s="1"/>
  <c r="B33" i="10"/>
  <c r="C33"/>
  <c r="G10"/>
  <c r="B13"/>
  <c r="E11"/>
  <c r="G11" s="1"/>
  <c r="E12"/>
  <c r="E9" i="9"/>
  <c r="D9"/>
  <c r="D10" s="1"/>
  <c r="E6" i="7"/>
  <c r="D5"/>
  <c r="D6" s="1"/>
  <c r="E7"/>
  <c r="C5"/>
  <c r="C7" s="1"/>
  <c r="B16" i="5"/>
  <c r="A17" s="1"/>
  <c r="D17" s="1"/>
  <c r="C16"/>
  <c r="E15"/>
  <c r="F15" s="1"/>
  <c r="D13" i="4"/>
  <c r="G13" s="1"/>
  <c r="A14"/>
  <c r="E11" i="3"/>
  <c r="F11" s="1"/>
  <c r="B13"/>
  <c r="C14" s="1"/>
  <c r="E12"/>
  <c r="F12" s="1"/>
  <c r="D5" i="2"/>
  <c r="E5"/>
  <c r="F5" s="1"/>
  <c r="B4" i="3"/>
  <c r="C5" s="1"/>
  <c r="B18" i="22" l="1"/>
  <c r="C17"/>
  <c r="E17" s="1"/>
  <c r="D17"/>
  <c r="F17" s="1"/>
  <c r="B17" i="23"/>
  <c r="D16"/>
  <c r="C16"/>
  <c r="B6"/>
  <c r="C5"/>
  <c r="E5" s="1"/>
  <c r="D5"/>
  <c r="F5" s="1"/>
  <c r="B6" i="22"/>
  <c r="D5"/>
  <c r="F5" s="1"/>
  <c r="C5"/>
  <c r="E5" s="1"/>
  <c r="B6" i="21"/>
  <c r="C6" s="1"/>
  <c r="F4"/>
  <c r="G4"/>
  <c r="B6" i="20"/>
  <c r="C5"/>
  <c r="F5" s="1"/>
  <c r="G4"/>
  <c r="M4" i="19"/>
  <c r="K4"/>
  <c r="N4"/>
  <c r="J4"/>
  <c r="B6"/>
  <c r="C5"/>
  <c r="L5" s="1"/>
  <c r="A12" i="13"/>
  <c r="D12" s="1"/>
  <c r="E11"/>
  <c r="C12"/>
  <c r="F12" s="1"/>
  <c r="D11"/>
  <c r="B12"/>
  <c r="C11" i="11"/>
  <c r="F11" s="1"/>
  <c r="B11"/>
  <c r="D11"/>
  <c r="D12" i="10"/>
  <c r="C13"/>
  <c r="A14" s="1"/>
  <c r="F12"/>
  <c r="E10" i="9"/>
  <c r="E13" s="1"/>
  <c r="D7" i="7"/>
  <c r="C6"/>
  <c r="C8" s="1"/>
  <c r="C17" i="5"/>
  <c r="B17" s="1"/>
  <c r="E16"/>
  <c r="F16" s="1"/>
  <c r="C14" i="4"/>
  <c r="E13" i="3"/>
  <c r="F13" s="1"/>
  <c r="B14"/>
  <c r="E4"/>
  <c r="F4" s="1"/>
  <c r="B5"/>
  <c r="C6" s="1"/>
  <c r="B6" i="2"/>
  <c r="G6" s="1"/>
  <c r="C6"/>
  <c r="H6" s="1"/>
  <c r="B19" i="22" l="1"/>
  <c r="D18"/>
  <c r="F18" s="1"/>
  <c r="C18"/>
  <c r="E18" s="1"/>
  <c r="D17" i="23"/>
  <c r="B18"/>
  <c r="D18" s="1"/>
  <c r="C17"/>
  <c r="D6"/>
  <c r="B7"/>
  <c r="C6"/>
  <c r="B7" i="22"/>
  <c r="C6"/>
  <c r="E6" s="1"/>
  <c r="E7" s="1"/>
  <c r="E8" s="1"/>
  <c r="E10" s="1"/>
  <c r="D6"/>
  <c r="F6" s="1"/>
  <c r="F7" s="1"/>
  <c r="B7" i="21"/>
  <c r="C7" s="1"/>
  <c r="F5"/>
  <c r="G5"/>
  <c r="G5" i="20"/>
  <c r="C6"/>
  <c r="F6" s="1"/>
  <c r="B7"/>
  <c r="B7" i="19"/>
  <c r="C6"/>
  <c r="L6" s="1"/>
  <c r="N5"/>
  <c r="J5"/>
  <c r="M5"/>
  <c r="K5"/>
  <c r="G11" i="13"/>
  <c r="B13"/>
  <c r="E12"/>
  <c r="G12" s="1"/>
  <c r="A13"/>
  <c r="C13"/>
  <c r="F13" s="1"/>
  <c r="A12" i="11"/>
  <c r="E11"/>
  <c r="G11"/>
  <c r="G12" i="10"/>
  <c r="B14"/>
  <c r="F13"/>
  <c r="E13"/>
  <c r="E14" i="9"/>
  <c r="E8" i="7"/>
  <c r="E9" s="1"/>
  <c r="D8"/>
  <c r="D9" s="1"/>
  <c r="D10" s="1"/>
  <c r="D14" i="4"/>
  <c r="G14" s="1"/>
  <c r="A15"/>
  <c r="E15" s="1"/>
  <c r="E17" i="5"/>
  <c r="F17" s="1"/>
  <c r="E14" i="3"/>
  <c r="F14" s="1"/>
  <c r="D6" i="2"/>
  <c r="I6" s="1"/>
  <c r="E6"/>
  <c r="F6" s="1"/>
  <c r="B6" i="3"/>
  <c r="C7" s="1"/>
  <c r="E5"/>
  <c r="F5" s="1"/>
  <c r="B20" i="22" l="1"/>
  <c r="C19"/>
  <c r="E19" s="1"/>
  <c r="D19"/>
  <c r="F19" s="1"/>
  <c r="E7" i="23"/>
  <c r="E6"/>
  <c r="F7"/>
  <c r="F6"/>
  <c r="B19"/>
  <c r="C18"/>
  <c r="F6" i="21"/>
  <c r="G6"/>
  <c r="B8"/>
  <c r="C8" s="1"/>
  <c r="G6" i="20"/>
  <c r="B8"/>
  <c r="C7"/>
  <c r="F7" s="1"/>
  <c r="M6" i="19"/>
  <c r="K6"/>
  <c r="N6"/>
  <c r="J6"/>
  <c r="B8"/>
  <c r="C7"/>
  <c r="L7" s="1"/>
  <c r="A14" i="13"/>
  <c r="D14" s="1"/>
  <c r="E13"/>
  <c r="C14"/>
  <c r="F14" s="1"/>
  <c r="D13"/>
  <c r="G13" s="1"/>
  <c r="B14"/>
  <c r="B12" i="11"/>
  <c r="D12"/>
  <c r="C12"/>
  <c r="F12" s="1"/>
  <c r="D13" i="10"/>
  <c r="G13" s="1"/>
  <c r="C14"/>
  <c r="B15" s="1"/>
  <c r="F14"/>
  <c r="E10" i="7"/>
  <c r="E12" s="1"/>
  <c r="E13" s="1"/>
  <c r="C15" i="4"/>
  <c r="B7" i="2"/>
  <c r="G7" s="1"/>
  <c r="C7"/>
  <c r="H7" s="1"/>
  <c r="B7" i="3"/>
  <c r="C8" s="1"/>
  <c r="E6"/>
  <c r="F6"/>
  <c r="B21" i="22" l="1"/>
  <c r="D20"/>
  <c r="F20" s="1"/>
  <c r="C20"/>
  <c r="E20" s="1"/>
  <c r="E8" i="23"/>
  <c r="E10" s="1"/>
  <c r="D19"/>
  <c r="B20"/>
  <c r="C19"/>
  <c r="F7" i="21"/>
  <c r="G7"/>
  <c r="B9"/>
  <c r="C9" s="1"/>
  <c r="G7" i="20"/>
  <c r="C8"/>
  <c r="F8" s="1"/>
  <c r="B9"/>
  <c r="N7" i="19"/>
  <c r="J7"/>
  <c r="M7"/>
  <c r="K7"/>
  <c r="B9"/>
  <c r="C8"/>
  <c r="L8" s="1"/>
  <c r="E14" i="13"/>
  <c r="G14" s="1"/>
  <c r="A13" i="11"/>
  <c r="E12"/>
  <c r="G12" s="1"/>
  <c r="A15" i="10"/>
  <c r="C15"/>
  <c r="F15" s="1"/>
  <c r="E14"/>
  <c r="E15"/>
  <c r="D14"/>
  <c r="E14" i="7"/>
  <c r="A16" i="4"/>
  <c r="D15"/>
  <c r="G15" s="1"/>
  <c r="D7" i="2"/>
  <c r="E7"/>
  <c r="F7" s="1"/>
  <c r="E7" i="3"/>
  <c r="F7" s="1"/>
  <c r="B22" i="22" l="1"/>
  <c r="C21"/>
  <c r="E21" s="1"/>
  <c r="D21"/>
  <c r="F21" s="1"/>
  <c r="B21" i="23"/>
  <c r="C20"/>
  <c r="D20"/>
  <c r="B10" i="21"/>
  <c r="C10" s="1"/>
  <c r="F8"/>
  <c r="G8"/>
  <c r="B10" i="20"/>
  <c r="C9"/>
  <c r="F9" s="1"/>
  <c r="G8"/>
  <c r="M8" i="19"/>
  <c r="K8"/>
  <c r="N8"/>
  <c r="J8"/>
  <c r="B10"/>
  <c r="C9"/>
  <c r="L9" s="1"/>
  <c r="C13" i="11"/>
  <c r="F13" s="1"/>
  <c r="B13"/>
  <c r="D13"/>
  <c r="A16" i="10"/>
  <c r="G14"/>
  <c r="B16"/>
  <c r="D15"/>
  <c r="G15" s="1"/>
  <c r="C16"/>
  <c r="B17"/>
  <c r="F16"/>
  <c r="E16"/>
  <c r="E16" i="4"/>
  <c r="C16" s="1"/>
  <c r="D16" s="1"/>
  <c r="G16" s="1"/>
  <c r="C8" i="2"/>
  <c r="H8" s="1"/>
  <c r="I7"/>
  <c r="B8"/>
  <c r="G8" s="1"/>
  <c r="B8" i="3"/>
  <c r="C9" s="1"/>
  <c r="B23" i="22" l="1"/>
  <c r="D22"/>
  <c r="F22" s="1"/>
  <c r="C22"/>
  <c r="E22" s="1"/>
  <c r="D21" i="23"/>
  <c r="B22"/>
  <c r="C21"/>
  <c r="B11" i="21"/>
  <c r="C11" s="1"/>
  <c r="F9"/>
  <c r="G9"/>
  <c r="G9" i="20"/>
  <c r="B11"/>
  <c r="C10"/>
  <c r="F10" s="1"/>
  <c r="N9" i="19"/>
  <c r="J9"/>
  <c r="M9"/>
  <c r="K9"/>
  <c r="C10"/>
  <c r="L10" s="1"/>
  <c r="B11"/>
  <c r="A14" i="11"/>
  <c r="E13"/>
  <c r="G13" s="1"/>
  <c r="A17" i="10"/>
  <c r="D16"/>
  <c r="G16" s="1"/>
  <c r="C17"/>
  <c r="A18" s="1"/>
  <c r="E17"/>
  <c r="B18"/>
  <c r="A17" i="4"/>
  <c r="D8" i="2"/>
  <c r="I8" s="1"/>
  <c r="E8"/>
  <c r="F8" s="1"/>
  <c r="E8" i="3"/>
  <c r="F8" s="1"/>
  <c r="B9"/>
  <c r="E9" s="1"/>
  <c r="B24" i="22" l="1"/>
  <c r="C23"/>
  <c r="E23" s="1"/>
  <c r="E24" s="1"/>
  <c r="D23"/>
  <c r="F23" s="1"/>
  <c r="F24" s="1"/>
  <c r="E25" s="1"/>
  <c r="E27" s="1"/>
  <c r="B23" i="23"/>
  <c r="C22"/>
  <c r="D22"/>
  <c r="B12" i="21"/>
  <c r="C12" s="1"/>
  <c r="G10"/>
  <c r="F10"/>
  <c r="G10" i="20"/>
  <c r="B12"/>
  <c r="B13" s="1"/>
  <c r="C11"/>
  <c r="F11" s="1"/>
  <c r="M10" i="19"/>
  <c r="K10"/>
  <c r="N10"/>
  <c r="J10"/>
  <c r="C11"/>
  <c r="L11" s="1"/>
  <c r="B12"/>
  <c r="C14" i="11"/>
  <c r="F14" s="1"/>
  <c r="B14"/>
  <c r="D14"/>
  <c r="D17" i="10"/>
  <c r="C18"/>
  <c r="B19" s="1"/>
  <c r="E18"/>
  <c r="F17"/>
  <c r="E17" i="4"/>
  <c r="C17" s="1"/>
  <c r="C9" i="2"/>
  <c r="H9" s="1"/>
  <c r="B9"/>
  <c r="G9" s="1"/>
  <c r="F9" i="3"/>
  <c r="D23" i="23" l="1"/>
  <c r="B24"/>
  <c r="C23"/>
  <c r="B13" i="21"/>
  <c r="C13" s="1"/>
  <c r="F11"/>
  <c r="G11"/>
  <c r="B14" i="20"/>
  <c r="C13"/>
  <c r="G11"/>
  <c r="C12"/>
  <c r="M11" i="19"/>
  <c r="K11"/>
  <c r="N11"/>
  <c r="J11"/>
  <c r="C12"/>
  <c r="L12" s="1"/>
  <c r="L13" s="1"/>
  <c r="L16" s="1"/>
  <c r="R12" s="1"/>
  <c r="R19" s="1"/>
  <c r="A15" i="11"/>
  <c r="E14"/>
  <c r="G14" s="1"/>
  <c r="A20" i="10"/>
  <c r="A19"/>
  <c r="G17"/>
  <c r="C19"/>
  <c r="F19" s="1"/>
  <c r="E19"/>
  <c r="F18"/>
  <c r="D18"/>
  <c r="B20"/>
  <c r="D17" i="4"/>
  <c r="G17" s="1"/>
  <c r="E9" i="2"/>
  <c r="F9" s="1"/>
  <c r="D9"/>
  <c r="I9" s="1"/>
  <c r="E24" i="23" l="1"/>
  <c r="E25" s="1"/>
  <c r="F24"/>
  <c r="B14" i="21"/>
  <c r="C14" s="1"/>
  <c r="F12"/>
  <c r="G12"/>
  <c r="G12" i="20"/>
  <c r="F12"/>
  <c r="G13"/>
  <c r="F13"/>
  <c r="B15"/>
  <c r="C14"/>
  <c r="M12" i="19"/>
  <c r="M13" s="1"/>
  <c r="M16" s="1"/>
  <c r="R13" s="1"/>
  <c r="R20" s="1"/>
  <c r="K12"/>
  <c r="K13" s="1"/>
  <c r="K16" s="1"/>
  <c r="R11" s="1"/>
  <c r="R18" s="1"/>
  <c r="N12"/>
  <c r="N13" s="1"/>
  <c r="N16" s="1"/>
  <c r="R14" s="1"/>
  <c r="R21" s="1"/>
  <c r="J12"/>
  <c r="J13" s="1"/>
  <c r="J16" s="1"/>
  <c r="R10" s="1"/>
  <c r="R17" s="1"/>
  <c r="C15" i="11"/>
  <c r="F15" s="1"/>
  <c r="B15"/>
  <c r="D15"/>
  <c r="A21" i="10"/>
  <c r="G18"/>
  <c r="D19"/>
  <c r="G19" s="1"/>
  <c r="C20"/>
  <c r="F20" s="1"/>
  <c r="E20"/>
  <c r="B10" i="2"/>
  <c r="G10" s="1"/>
  <c r="C10"/>
  <c r="H10" s="1"/>
  <c r="B15" i="21" l="1"/>
  <c r="C15" s="1"/>
  <c r="G13"/>
  <c r="F13"/>
  <c r="G14" i="20"/>
  <c r="F14"/>
  <c r="B16"/>
  <c r="C15"/>
  <c r="A16" i="11"/>
  <c r="E15"/>
  <c r="G15"/>
  <c r="B21" i="10"/>
  <c r="A22" s="1"/>
  <c r="D20"/>
  <c r="G20" s="1"/>
  <c r="C21"/>
  <c r="B22"/>
  <c r="D10" i="2"/>
  <c r="I10" s="1"/>
  <c r="E10"/>
  <c r="F10" s="1"/>
  <c r="B16" i="21" l="1"/>
  <c r="C16" s="1"/>
  <c r="F14"/>
  <c r="G14"/>
  <c r="G15" i="20"/>
  <c r="F15"/>
  <c r="B17"/>
  <c r="C16"/>
  <c r="C16" i="11"/>
  <c r="F16" s="1"/>
  <c r="B16"/>
  <c r="D16"/>
  <c r="A23" i="10"/>
  <c r="E21"/>
  <c r="D21"/>
  <c r="C22"/>
  <c r="E22"/>
  <c r="F21"/>
  <c r="G21"/>
  <c r="B23"/>
  <c r="F22"/>
  <c r="B11" i="2"/>
  <c r="G11" s="1"/>
  <c r="C11"/>
  <c r="H11" s="1"/>
  <c r="B17" i="21" l="1"/>
  <c r="C17" s="1"/>
  <c r="F15"/>
  <c r="G15"/>
  <c r="G16" i="20"/>
  <c r="F16"/>
  <c r="B18"/>
  <c r="C17"/>
  <c r="A17" i="11"/>
  <c r="E16"/>
  <c r="G16" s="1"/>
  <c r="D22" i="10"/>
  <c r="C23"/>
  <c r="B24" s="1"/>
  <c r="G22"/>
  <c r="D11" i="2"/>
  <c r="I11" s="1"/>
  <c r="E11"/>
  <c r="F11" s="1"/>
  <c r="B18" i="21" l="1"/>
  <c r="C18" s="1"/>
  <c r="F16"/>
  <c r="G16"/>
  <c r="G17" i="20"/>
  <c r="F17"/>
  <c r="B19"/>
  <c r="C18"/>
  <c r="C17" i="11"/>
  <c r="F17" s="1"/>
  <c r="B17"/>
  <c r="D17"/>
  <c r="A24" i="10"/>
  <c r="F23"/>
  <c r="D23"/>
  <c r="C24"/>
  <c r="B25" s="1"/>
  <c r="E23"/>
  <c r="G23" s="1"/>
  <c r="E24"/>
  <c r="B12" i="2"/>
  <c r="G12" s="1"/>
  <c r="C12"/>
  <c r="H12" s="1"/>
  <c r="B19" i="21" l="1"/>
  <c r="C19" s="1"/>
  <c r="F17"/>
  <c r="G17"/>
  <c r="G18" i="20"/>
  <c r="F18"/>
  <c r="B20"/>
  <c r="C19"/>
  <c r="A18" i="11"/>
  <c r="E17"/>
  <c r="G17"/>
  <c r="A26" i="10"/>
  <c r="A25"/>
  <c r="D24"/>
  <c r="C25"/>
  <c r="F24"/>
  <c r="F25"/>
  <c r="B26"/>
  <c r="D12" i="2"/>
  <c r="I12" s="1"/>
  <c r="E12"/>
  <c r="F12" s="1"/>
  <c r="B20" i="21" l="1"/>
  <c r="C20" s="1"/>
  <c r="F18"/>
  <c r="G18"/>
  <c r="G19" i="20"/>
  <c r="F19"/>
  <c r="B21"/>
  <c r="C20"/>
  <c r="B18" i="11"/>
  <c r="D18"/>
  <c r="A27" i="10"/>
  <c r="C26"/>
  <c r="G24"/>
  <c r="D25"/>
  <c r="E25"/>
  <c r="E26"/>
  <c r="C13" i="2"/>
  <c r="H13" s="1"/>
  <c r="B13"/>
  <c r="G13" s="1"/>
  <c r="B21" i="21" l="1"/>
  <c r="C21" s="1"/>
  <c r="F19"/>
  <c r="G19"/>
  <c r="G20" i="20"/>
  <c r="F20"/>
  <c r="B22"/>
  <c r="C21"/>
  <c r="A19" i="11"/>
  <c r="E18"/>
  <c r="G18"/>
  <c r="C18"/>
  <c r="F18" s="1"/>
  <c r="B27" i="10"/>
  <c r="A28" s="1"/>
  <c r="C27"/>
  <c r="D26"/>
  <c r="F27"/>
  <c r="F26"/>
  <c r="B28"/>
  <c r="G25"/>
  <c r="E13" i="2"/>
  <c r="F13" s="1"/>
  <c r="D13"/>
  <c r="I13" s="1"/>
  <c r="B22" i="21" l="1"/>
  <c r="C22" s="1"/>
  <c r="F20"/>
  <c r="G20"/>
  <c r="G21" i="20"/>
  <c r="F21"/>
  <c r="C22"/>
  <c r="F22" s="1"/>
  <c r="F23" s="1"/>
  <c r="D27" i="10"/>
  <c r="C28"/>
  <c r="G26"/>
  <c r="D28"/>
  <c r="E27"/>
  <c r="G27" s="1"/>
  <c r="F28"/>
  <c r="E28"/>
  <c r="B14" i="2"/>
  <c r="G14" s="1"/>
  <c r="C14"/>
  <c r="H14" s="1"/>
  <c r="F22" i="21" l="1"/>
  <c r="G22"/>
  <c r="F21"/>
  <c r="G21"/>
  <c r="G22" i="20"/>
  <c r="G23" s="1"/>
  <c r="C19" i="11"/>
  <c r="F19" s="1"/>
  <c r="B19"/>
  <c r="D19"/>
  <c r="G28" i="10"/>
  <c r="D14" i="2"/>
  <c r="I14" s="1"/>
  <c r="E14"/>
  <c r="F14" s="1"/>
  <c r="F23" i="21" l="1"/>
  <c r="F26" s="1"/>
  <c r="K9" s="1"/>
  <c r="K12" s="1"/>
  <c r="G23"/>
  <c r="G26" s="1"/>
  <c r="A20" i="11"/>
  <c r="E19"/>
  <c r="G19"/>
  <c r="C15" i="2"/>
  <c r="H15" s="1"/>
  <c r="B15"/>
  <c r="G15" s="1"/>
  <c r="B20" i="11" l="1"/>
  <c r="D20"/>
  <c r="C20"/>
  <c r="F20" s="1"/>
  <c r="E15" i="2"/>
  <c r="F15" s="1"/>
  <c r="D15"/>
  <c r="I15" s="1"/>
  <c r="A21" i="11" l="1"/>
  <c r="E20"/>
  <c r="G20" s="1"/>
  <c r="B16" i="2"/>
  <c r="G16" s="1"/>
  <c r="C16"/>
  <c r="H16" s="1"/>
  <c r="C21" i="11" l="1"/>
  <c r="F21" s="1"/>
  <c r="B21"/>
  <c r="D21"/>
  <c r="D16" i="2"/>
  <c r="I16" s="1"/>
  <c r="E16"/>
  <c r="F16" s="1"/>
  <c r="A22" i="11" l="1"/>
  <c r="E21"/>
  <c r="G21"/>
  <c r="C17" i="2"/>
  <c r="H17" s="1"/>
  <c r="B17"/>
  <c r="G17" s="1"/>
  <c r="B22" i="11" l="1"/>
  <c r="D22"/>
  <c r="C22"/>
  <c r="F22" s="1"/>
  <c r="E17" i="2"/>
  <c r="F17" s="1"/>
  <c r="D17"/>
  <c r="I17" s="1"/>
  <c r="A23" i="11" l="1"/>
  <c r="E22"/>
  <c r="G22"/>
  <c r="B18" i="2"/>
  <c r="G18" s="1"/>
  <c r="C18"/>
  <c r="H18" s="1"/>
  <c r="C23" i="11" l="1"/>
  <c r="F23" s="1"/>
  <c r="B23"/>
  <c r="D23"/>
  <c r="D18" i="2"/>
  <c r="I18" s="1"/>
  <c r="E18"/>
  <c r="F18" s="1"/>
  <c r="A24" i="11" l="1"/>
  <c r="E23"/>
  <c r="G23" s="1"/>
  <c r="B24" l="1"/>
  <c r="D24"/>
  <c r="C24"/>
  <c r="F24" s="1"/>
  <c r="A25" l="1"/>
  <c r="E24"/>
  <c r="G24"/>
  <c r="C25" l="1"/>
  <c r="F25" s="1"/>
  <c r="B25"/>
  <c r="D25"/>
  <c r="A26" l="1"/>
  <c r="E25"/>
  <c r="G25"/>
  <c r="C26" l="1"/>
  <c r="F26" s="1"/>
  <c r="B26"/>
  <c r="D26"/>
  <c r="A27" l="1"/>
  <c r="E26"/>
  <c r="G26" s="1"/>
  <c r="B27" l="1"/>
  <c r="D27"/>
  <c r="A28" l="1"/>
  <c r="E27"/>
  <c r="G27"/>
  <c r="C27"/>
  <c r="F27" s="1"/>
  <c r="B28" l="1"/>
  <c r="D28"/>
  <c r="C28"/>
  <c r="F28" s="1"/>
  <c r="A29" l="1"/>
  <c r="E28"/>
  <c r="G28"/>
  <c r="C29" l="1"/>
  <c r="F29" s="1"/>
  <c r="B29"/>
  <c r="D29"/>
  <c r="A30" l="1"/>
  <c r="E29"/>
  <c r="G29"/>
  <c r="B30" l="1"/>
  <c r="D30"/>
  <c r="C30"/>
  <c r="F30" s="1"/>
  <c r="A31" l="1"/>
  <c r="E30"/>
  <c r="G30" s="1"/>
  <c r="C31" l="1"/>
  <c r="F31" s="1"/>
  <c r="B31"/>
  <c r="D31"/>
  <c r="A32" l="1"/>
  <c r="E31"/>
  <c r="G31" s="1"/>
  <c r="B32" l="1"/>
  <c r="D32"/>
  <c r="E32" l="1"/>
  <c r="C32"/>
  <c r="F32" s="1"/>
  <c r="G32" s="1"/>
  <c r="A33" l="1"/>
  <c r="B33" s="1"/>
  <c r="E33" s="1"/>
  <c r="D33"/>
  <c r="C33" l="1"/>
  <c r="F33" s="1"/>
  <c r="G33" s="1"/>
  <c r="E9" i="12"/>
  <c r="F9"/>
  <c r="A10" l="1"/>
  <c r="B10" s="1"/>
  <c r="E10" s="1"/>
  <c r="G9"/>
  <c r="C10"/>
  <c r="F10" s="1"/>
  <c r="D10" l="1"/>
  <c r="G10" s="1"/>
  <c r="A11"/>
  <c r="B11" l="1"/>
  <c r="D11"/>
  <c r="C11"/>
  <c r="F11" s="1"/>
  <c r="E11" l="1"/>
  <c r="A12"/>
  <c r="G11"/>
  <c r="D12" l="1"/>
  <c r="B12"/>
  <c r="E12" l="1"/>
  <c r="G12" s="1"/>
  <c r="C12"/>
  <c r="F12" s="1"/>
</calcChain>
</file>

<file path=xl/sharedStrings.xml><?xml version="1.0" encoding="utf-8"?>
<sst xmlns="http://schemas.openxmlformats.org/spreadsheetml/2006/main" count="455" uniqueCount="138">
  <si>
    <t>x</t>
  </si>
  <si>
    <t>f(x)</t>
  </si>
  <si>
    <t>Точность</t>
  </si>
  <si>
    <t>Е=</t>
  </si>
  <si>
    <t>№</t>
  </si>
  <si>
    <t>a</t>
  </si>
  <si>
    <t>b</t>
  </si>
  <si>
    <t>b-a</t>
  </si>
  <si>
    <t>условие</t>
  </si>
  <si>
    <t>f(a)</t>
  </si>
  <si>
    <t>f(b)</t>
  </si>
  <si>
    <t>k</t>
  </si>
  <si>
    <t>M</t>
  </si>
  <si>
    <t>Погрешность</t>
  </si>
  <si>
    <t>УСЛОВИЕ</t>
  </si>
  <si>
    <t>e=</t>
  </si>
  <si>
    <t>Проверка на сходимость</t>
  </si>
  <si>
    <t>Граница</t>
  </si>
  <si>
    <t>Значение</t>
  </si>
  <si>
    <t>f2(x)</t>
  </si>
  <si>
    <t>Условие</t>
  </si>
  <si>
    <t>Итерации</t>
  </si>
  <si>
    <t>d=b=</t>
  </si>
  <si>
    <t>неподвижный конец отрезка</t>
  </si>
  <si>
    <t>x0=c=a=</t>
  </si>
  <si>
    <t>c</t>
  </si>
  <si>
    <t>d</t>
  </si>
  <si>
    <t>z</t>
  </si>
  <si>
    <t>R</t>
  </si>
  <si>
    <t>f( c)</t>
  </si>
  <si>
    <t>f(d)</t>
  </si>
  <si>
    <t>Действия по методу</t>
  </si>
  <si>
    <t>xn</t>
  </si>
  <si>
    <t>xn+1</t>
  </si>
  <si>
    <t>f(xn)</t>
  </si>
  <si>
    <t>f`(xn)</t>
  </si>
  <si>
    <t>Корень</t>
  </si>
  <si>
    <t>Число итераций</t>
  </si>
  <si>
    <t>f(x)=2x^3-3x^2-12x-5</t>
  </si>
  <si>
    <t>f1(x)=6x^2-6x-12</t>
  </si>
  <si>
    <t>f2(x)=12x-6</t>
  </si>
  <si>
    <t>f(x)=3x+cos(x)+1</t>
  </si>
  <si>
    <t>f1(x)=3-sin(x)</t>
  </si>
  <si>
    <t>f2(x)=-cos(x)</t>
  </si>
  <si>
    <t>Раздел</t>
  </si>
  <si>
    <t>x1</t>
  </si>
  <si>
    <t>x2</t>
  </si>
  <si>
    <t>x3</t>
  </si>
  <si>
    <t>x4</t>
  </si>
  <si>
    <t>Свободные члены</t>
  </si>
  <si>
    <t>A</t>
  </si>
  <si>
    <t>A1</t>
  </si>
  <si>
    <t>A2</t>
  </si>
  <si>
    <t>A3</t>
  </si>
  <si>
    <t>B</t>
  </si>
  <si>
    <t>Метод простой итерации</t>
  </si>
  <si>
    <t>d1</t>
  </si>
  <si>
    <t>d2</t>
  </si>
  <si>
    <t>d3</t>
  </si>
  <si>
    <t>номер итерации</t>
  </si>
  <si>
    <t>точность</t>
  </si>
  <si>
    <t>x0</t>
  </si>
  <si>
    <t>y</t>
  </si>
  <si>
    <t>Искомый x:</t>
  </si>
  <si>
    <t>Pi</t>
  </si>
  <si>
    <t>yi</t>
  </si>
  <si>
    <t>yi/Pi</t>
  </si>
  <si>
    <t>P=</t>
  </si>
  <si>
    <t>S=</t>
  </si>
  <si>
    <t>f(2,75)=</t>
  </si>
  <si>
    <t>Δy</t>
  </si>
  <si>
    <t>Δ2y</t>
  </si>
  <si>
    <t>Δ3y</t>
  </si>
  <si>
    <t>Δ4y</t>
  </si>
  <si>
    <t>f(2,12)=</t>
  </si>
  <si>
    <t>n=</t>
  </si>
  <si>
    <t>b=</t>
  </si>
  <si>
    <t>h=</t>
  </si>
  <si>
    <t>a=</t>
  </si>
  <si>
    <t>i</t>
  </si>
  <si>
    <t>xi</t>
  </si>
  <si>
    <t>xicp</t>
  </si>
  <si>
    <t>yicp</t>
  </si>
  <si>
    <t>ciл</t>
  </si>
  <si>
    <t>сiпр</t>
  </si>
  <si>
    <t>сiтр</t>
  </si>
  <si>
    <t>сiпараб</t>
  </si>
  <si>
    <t>с*у лев</t>
  </si>
  <si>
    <t>с*у пр</t>
  </si>
  <si>
    <t>с*у сред</t>
  </si>
  <si>
    <t>с*у трап</t>
  </si>
  <si>
    <t>с*у параб</t>
  </si>
  <si>
    <t>суммы</t>
  </si>
  <si>
    <t>I лев</t>
  </si>
  <si>
    <t>точное знач</t>
  </si>
  <si>
    <t>I пр</t>
  </si>
  <si>
    <t>I сред</t>
  </si>
  <si>
    <t>I трап</t>
  </si>
  <si>
    <t>I параб</t>
  </si>
  <si>
    <t>1/3</t>
  </si>
  <si>
    <t>1 1/3</t>
  </si>
  <si>
    <t>2/3</t>
  </si>
  <si>
    <t>ел=</t>
  </si>
  <si>
    <t>еп=</t>
  </si>
  <si>
    <t>еср=</t>
  </si>
  <si>
    <t>етр=</t>
  </si>
  <si>
    <t>епар=</t>
  </si>
  <si>
    <t>dл=</t>
  </si>
  <si>
    <t>dп=</t>
  </si>
  <si>
    <t>dс=</t>
  </si>
  <si>
    <t>dтр=</t>
  </si>
  <si>
    <t>dпар=</t>
  </si>
  <si>
    <t>Суммы</t>
  </si>
  <si>
    <t>n</t>
  </si>
  <si>
    <t>h</t>
  </si>
  <si>
    <t>xi+h/2-h/(2*3^1/2)</t>
  </si>
  <si>
    <t>yi-</t>
  </si>
  <si>
    <t>yi+</t>
  </si>
  <si>
    <t>xi+h/2+h(2*3^1/2)</t>
  </si>
  <si>
    <t>Сумма1</t>
  </si>
  <si>
    <t>Сумма</t>
  </si>
  <si>
    <t>Интеграл</t>
  </si>
  <si>
    <t>Точное значение</t>
  </si>
  <si>
    <t>Абсолютная погрешность</t>
  </si>
  <si>
    <t>Относительная погрешность</t>
  </si>
  <si>
    <t>xk</t>
  </si>
  <si>
    <t>yk</t>
  </si>
  <si>
    <t>yk*</t>
  </si>
  <si>
    <t>метод эйлера</t>
  </si>
  <si>
    <t>точное решение</t>
  </si>
  <si>
    <t>yi*</t>
  </si>
  <si>
    <t>метод Эйлера</t>
  </si>
  <si>
    <t>точное</t>
  </si>
  <si>
    <t>y'=3/x-y/x</t>
  </si>
  <si>
    <t>с этого сайта взять с</t>
  </si>
  <si>
    <t>уточненная Эйлера</t>
  </si>
  <si>
    <t>yi**</t>
  </si>
  <si>
    <t>y(0,5)=</t>
  </si>
</sst>
</file>

<file path=xl/styles.xml><?xml version="1.0" encoding="utf-8"?>
<styleSheet xmlns="http://schemas.openxmlformats.org/spreadsheetml/2006/main">
  <numFmts count="6">
    <numFmt numFmtId="164" formatCode="0.000"/>
    <numFmt numFmtId="165" formatCode="0.0000"/>
    <numFmt numFmtId="166" formatCode="0.00000"/>
    <numFmt numFmtId="167" formatCode="0.00000%"/>
    <numFmt numFmtId="168" formatCode="0.00000000"/>
    <numFmt numFmtId="169" formatCode="0.00000000%"/>
  </numFmts>
  <fonts count="3">
    <font>
      <sz val="11"/>
      <color rgb="FF000000"/>
      <name val="Calibri"/>
      <family val="2"/>
      <charset val="204"/>
    </font>
    <font>
      <b/>
      <sz val="11"/>
      <color rgb="FF000000"/>
      <name val="Calibri"/>
      <family val="2"/>
      <charset val="204"/>
    </font>
    <font>
      <sz val="11"/>
      <color rgb="FF000000"/>
      <name val="Calibri"/>
      <family val="2"/>
      <charset val="204"/>
    </font>
  </fonts>
  <fills count="26">
    <fill>
      <patternFill patternType="none"/>
    </fill>
    <fill>
      <patternFill patternType="gray125"/>
    </fill>
    <fill>
      <patternFill patternType="solid">
        <fgColor rgb="FFF2DCDB"/>
        <bgColor rgb="FFEBF1DE"/>
      </patternFill>
    </fill>
    <fill>
      <patternFill patternType="solid">
        <fgColor rgb="FFFFFFFF"/>
        <bgColor rgb="FFEBF1DE"/>
      </patternFill>
    </fill>
    <fill>
      <patternFill patternType="solid">
        <fgColor rgb="FFE6B9B8"/>
        <bgColor rgb="FFFF99CC"/>
      </patternFill>
    </fill>
    <fill>
      <patternFill patternType="solid">
        <fgColor rgb="FFEBF1DE"/>
        <bgColor rgb="FFF2DCDB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136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2" borderId="0" xfId="0" applyFont="1" applyFill="1"/>
    <xf numFmtId="0" fontId="0" fillId="2" borderId="0" xfId="0" applyFont="1" applyFill="1" applyAlignment="1">
      <alignment horizontal="right"/>
    </xf>
    <xf numFmtId="0" fontId="0" fillId="2" borderId="0" xfId="0" applyFill="1" applyAlignment="1">
      <alignment horizontal="left"/>
    </xf>
    <xf numFmtId="0" fontId="0" fillId="0" borderId="1" xfId="0" applyFont="1" applyBorder="1" applyAlignment="1">
      <alignment horizontal="center" vertical="center"/>
    </xf>
    <xf numFmtId="0" fontId="0" fillId="0" borderId="1" xfId="0" applyFont="1" applyBorder="1"/>
    <xf numFmtId="0" fontId="0" fillId="0" borderId="0" xfId="0" applyFont="1" applyAlignment="1">
      <alignment horizontal="right"/>
    </xf>
    <xf numFmtId="0" fontId="0" fillId="0" borderId="0" xfId="0" applyAlignment="1">
      <alignment horizontal="left"/>
    </xf>
    <xf numFmtId="164" fontId="0" fillId="0" borderId="1" xfId="0" applyNumberFormat="1" applyBorder="1" applyAlignment="1">
      <alignment horizontal="center"/>
    </xf>
    <xf numFmtId="164" fontId="0" fillId="6" borderId="1" xfId="0" applyNumberFormat="1" applyFill="1" applyBorder="1" applyAlignment="1">
      <alignment horizontal="center"/>
    </xf>
    <xf numFmtId="164" fontId="0" fillId="0" borderId="1" xfId="0" applyNumberFormat="1" applyFill="1" applyBorder="1" applyAlignment="1">
      <alignment horizontal="center"/>
    </xf>
    <xf numFmtId="164" fontId="0" fillId="3" borderId="1" xfId="0" applyNumberFormat="1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Font="1" applyFill="1" applyBorder="1" applyAlignment="1">
      <alignment horizontal="center" vertical="center"/>
    </xf>
    <xf numFmtId="164" fontId="0" fillId="0" borderId="0" xfId="0" applyNumberFormat="1" applyFill="1" applyBorder="1" applyAlignment="1">
      <alignment horizontal="center"/>
    </xf>
    <xf numFmtId="0" fontId="0" fillId="0" borderId="0" xfId="0" applyFont="1" applyFill="1" applyBorder="1"/>
    <xf numFmtId="0" fontId="0" fillId="0" borderId="0" xfId="0" applyFill="1" applyBorder="1" applyAlignment="1">
      <alignment horizontal="center"/>
    </xf>
    <xf numFmtId="0" fontId="0" fillId="0" borderId="1" xfId="0" applyBorder="1"/>
    <xf numFmtId="165" fontId="0" fillId="0" borderId="1" xfId="0" applyNumberFormat="1" applyBorder="1" applyAlignment="1">
      <alignment horizontal="center"/>
    </xf>
    <xf numFmtId="165" fontId="0" fillId="0" borderId="1" xfId="0" applyNumberFormat="1" applyFont="1" applyBorder="1"/>
    <xf numFmtId="165" fontId="0" fillId="4" borderId="1" xfId="0" applyNumberFormat="1" applyFill="1" applyBorder="1" applyAlignment="1">
      <alignment horizontal="center"/>
    </xf>
    <xf numFmtId="165" fontId="0" fillId="5" borderId="1" xfId="0" applyNumberFormat="1" applyFill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0" fillId="6" borderId="0" xfId="0" applyFill="1" applyBorder="1" applyAlignment="1">
      <alignment horizontal="center"/>
    </xf>
    <xf numFmtId="0" fontId="0" fillId="0" borderId="0" xfId="0" applyBorder="1"/>
    <xf numFmtId="1" fontId="0" fillId="0" borderId="1" xfId="0" applyNumberFormat="1" applyBorder="1" applyAlignment="1">
      <alignment horizontal="center"/>
    </xf>
    <xf numFmtId="165" fontId="0" fillId="6" borderId="1" xfId="0" applyNumberFormat="1" applyFill="1" applyBorder="1" applyAlignment="1">
      <alignment horizontal="center"/>
    </xf>
    <xf numFmtId="165" fontId="0" fillId="0" borderId="1" xfId="0" applyNumberFormat="1" applyFill="1" applyBorder="1" applyAlignment="1">
      <alignment horizontal="center"/>
    </xf>
    <xf numFmtId="165" fontId="0" fillId="0" borderId="1" xfId="0" applyNumberFormat="1" applyFont="1" applyFill="1" applyBorder="1"/>
    <xf numFmtId="0" fontId="0" fillId="7" borderId="1" xfId="0" applyFill="1" applyBorder="1" applyAlignment="1">
      <alignment horizontal="center"/>
    </xf>
    <xf numFmtId="0" fontId="0" fillId="8" borderId="0" xfId="0" applyFill="1"/>
    <xf numFmtId="1" fontId="0" fillId="0" borderId="0" xfId="0" applyNumberFormat="1" applyFill="1" applyBorder="1" applyAlignment="1">
      <alignment horizontal="center"/>
    </xf>
    <xf numFmtId="0" fontId="0" fillId="8" borderId="2" xfId="0" applyFill="1" applyBorder="1" applyAlignment="1">
      <alignment horizontal="left"/>
    </xf>
    <xf numFmtId="165" fontId="0" fillId="0" borderId="0" xfId="0" applyNumberFormat="1" applyBorder="1" applyAlignment="1">
      <alignment horizontal="center"/>
    </xf>
    <xf numFmtId="165" fontId="0" fillId="0" borderId="0" xfId="0" applyNumberFormat="1" applyFill="1" applyBorder="1" applyAlignment="1">
      <alignment horizontal="center"/>
    </xf>
    <xf numFmtId="165" fontId="0" fillId="9" borderId="1" xfId="0" applyNumberForma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1" fontId="0" fillId="0" borderId="0" xfId="0" applyNumberFormat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10" borderId="0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165" fontId="0" fillId="6" borderId="1" xfId="0" applyNumberFormat="1" applyFill="1" applyBorder="1" applyAlignment="1">
      <alignment horizontal="center" vertical="center"/>
    </xf>
    <xf numFmtId="165" fontId="0" fillId="0" borderId="1" xfId="0" applyNumberFormat="1" applyBorder="1" applyAlignment="1">
      <alignment horizontal="center" vertical="center"/>
    </xf>
    <xf numFmtId="164" fontId="0" fillId="6" borderId="1" xfId="0" applyNumberFormat="1" applyFill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65" fontId="0" fillId="9" borderId="1" xfId="0" applyNumberFormat="1" applyFill="1" applyBorder="1" applyAlignment="1">
      <alignment horizontal="center" vertical="center"/>
    </xf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horizontal="center" vertical="center"/>
    </xf>
    <xf numFmtId="165" fontId="0" fillId="0" borderId="0" xfId="0" applyNumberFormat="1" applyFill="1" applyBorder="1" applyAlignment="1">
      <alignment horizontal="center" vertical="center"/>
    </xf>
    <xf numFmtId="0" fontId="0" fillId="10" borderId="1" xfId="0" applyFill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164" fontId="0" fillId="9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12" borderId="1" xfId="0" applyFill="1" applyBorder="1" applyAlignment="1">
      <alignment horizontal="center"/>
    </xf>
    <xf numFmtId="0" fontId="0" fillId="11" borderId="1" xfId="0" applyFill="1" applyBorder="1" applyAlignment="1">
      <alignment horizontal="center" vertical="center"/>
    </xf>
    <xf numFmtId="164" fontId="0" fillId="13" borderId="1" xfId="0" applyNumberFormat="1" applyFill="1" applyBorder="1" applyAlignment="1">
      <alignment horizontal="center" vertical="center"/>
    </xf>
    <xf numFmtId="0" fontId="0" fillId="14" borderId="1" xfId="0" applyFill="1" applyBorder="1" applyAlignment="1">
      <alignment horizontal="center" vertical="center"/>
    </xf>
    <xf numFmtId="164" fontId="0" fillId="15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64" fontId="0" fillId="0" borderId="3" xfId="0" applyNumberForma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164" fontId="0" fillId="0" borderId="0" xfId="0" applyNumberFormat="1" applyBorder="1" applyAlignment="1">
      <alignment horizontal="center" vertical="center"/>
    </xf>
    <xf numFmtId="164" fontId="0" fillId="0" borderId="0" xfId="0" applyNumberFormat="1" applyFill="1" applyBorder="1" applyAlignment="1">
      <alignment horizontal="center" vertical="center"/>
    </xf>
    <xf numFmtId="164" fontId="0" fillId="16" borderId="1" xfId="0" applyNumberFormat="1" applyFill="1" applyBorder="1" applyAlignment="1">
      <alignment horizontal="center" vertical="center"/>
    </xf>
    <xf numFmtId="164" fontId="0" fillId="13" borderId="3" xfId="0" applyNumberFormat="1" applyFill="1" applyBorder="1" applyAlignment="1">
      <alignment horizontal="center" vertical="center"/>
    </xf>
    <xf numFmtId="164" fontId="0" fillId="0" borderId="1" xfId="0" applyNumberFormat="1" applyBorder="1"/>
    <xf numFmtId="0" fontId="0" fillId="0" borderId="4" xfId="0" applyBorder="1" applyAlignment="1">
      <alignment horizontal="center"/>
    </xf>
    <xf numFmtId="164" fontId="0" fillId="9" borderId="4" xfId="0" applyNumberFormat="1" applyFill="1" applyBorder="1" applyAlignment="1">
      <alignment horizontal="center"/>
    </xf>
    <xf numFmtId="164" fontId="0" fillId="12" borderId="4" xfId="0" applyNumberForma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17" borderId="1" xfId="0" applyNumberFormat="1" applyFill="1" applyBorder="1" applyAlignment="1">
      <alignment horizontal="center" vertical="center"/>
    </xf>
    <xf numFmtId="0" fontId="0" fillId="17" borderId="1" xfId="0" applyFill="1" applyBorder="1" applyAlignment="1">
      <alignment horizontal="center" vertical="center"/>
    </xf>
    <xf numFmtId="0" fontId="0" fillId="18" borderId="1" xfId="0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2" fontId="0" fillId="9" borderId="1" xfId="0" applyNumberFormat="1" applyFill="1" applyBorder="1" applyAlignment="1">
      <alignment horizontal="center" vertical="center"/>
    </xf>
    <xf numFmtId="164" fontId="0" fillId="8" borderId="1" xfId="0" applyNumberFormat="1" applyFill="1" applyBorder="1"/>
    <xf numFmtId="0" fontId="0" fillId="0" borderId="1" xfId="0" applyBorder="1" applyAlignment="1">
      <alignment horizontal="center" vertical="center"/>
    </xf>
    <xf numFmtId="0" fontId="0" fillId="20" borderId="0" xfId="0" applyFill="1"/>
    <xf numFmtId="0" fontId="0" fillId="12" borderId="1" xfId="0" applyFill="1" applyBorder="1"/>
    <xf numFmtId="0" fontId="0" fillId="21" borderId="1" xfId="0" applyFill="1" applyBorder="1"/>
    <xf numFmtId="49" fontId="0" fillId="0" borderId="1" xfId="0" applyNumberFormat="1" applyBorder="1" applyAlignment="1">
      <alignment horizontal="center" vertical="center"/>
    </xf>
    <xf numFmtId="164" fontId="0" fillId="11" borderId="4" xfId="0" applyNumberFormat="1" applyFill="1" applyBorder="1" applyAlignment="1">
      <alignment horizontal="center" vertical="center"/>
    </xf>
    <xf numFmtId="166" fontId="0" fillId="19" borderId="1" xfId="0" applyNumberFormat="1" applyFill="1" applyBorder="1"/>
    <xf numFmtId="167" fontId="0" fillId="19" borderId="1" xfId="1" applyNumberFormat="1" applyFont="1" applyFill="1" applyBorder="1"/>
    <xf numFmtId="0" fontId="0" fillId="0" borderId="1" xfId="0" applyBorder="1" applyAlignment="1">
      <alignment horizontal="right"/>
    </xf>
    <xf numFmtId="0" fontId="0" fillId="0" borderId="1" xfId="0" applyBorder="1" applyAlignment="1">
      <alignment horizontal="right" vertical="center"/>
    </xf>
    <xf numFmtId="166" fontId="0" fillId="18" borderId="1" xfId="0" applyNumberFormat="1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0" fillId="0" borderId="0" xfId="0" applyFill="1" applyBorder="1"/>
    <xf numFmtId="49" fontId="0" fillId="0" borderId="1" xfId="0" applyNumberFormat="1" applyFill="1" applyBorder="1" applyAlignment="1">
      <alignment horizontal="center" vertical="center"/>
    </xf>
    <xf numFmtId="164" fontId="0" fillId="11" borderId="1" xfId="0" applyNumberFormat="1" applyFill="1" applyBorder="1"/>
    <xf numFmtId="0" fontId="0" fillId="0" borderId="0" xfId="0" applyFill="1" applyBorder="1" applyAlignment="1">
      <alignment horizontal="right" vertical="center"/>
    </xf>
    <xf numFmtId="167" fontId="0" fillId="0" borderId="0" xfId="1" applyNumberFormat="1" applyFont="1" applyFill="1" applyBorder="1"/>
    <xf numFmtId="166" fontId="0" fillId="0" borderId="0" xfId="0" applyNumberFormat="1" applyFill="1" applyBorder="1"/>
    <xf numFmtId="0" fontId="0" fillId="0" borderId="1" xfId="0" applyBorder="1" applyAlignment="1">
      <alignment horizontal="center" vertical="center"/>
    </xf>
    <xf numFmtId="164" fontId="0" fillId="17" borderId="1" xfId="0" applyNumberFormat="1" applyFill="1" applyBorder="1" applyAlignment="1">
      <alignment horizontal="center" vertical="center"/>
    </xf>
    <xf numFmtId="166" fontId="0" fillId="0" borderId="1" xfId="0" applyNumberFormat="1" applyBorder="1" applyAlignment="1">
      <alignment horizontal="center" vertical="center"/>
    </xf>
    <xf numFmtId="0" fontId="0" fillId="22" borderId="1" xfId="0" applyFill="1" applyBorder="1" applyAlignment="1">
      <alignment horizontal="center" vertical="center"/>
    </xf>
    <xf numFmtId="0" fontId="0" fillId="21" borderId="1" xfId="0" applyFill="1" applyBorder="1" applyAlignment="1">
      <alignment horizontal="center" vertical="center"/>
    </xf>
    <xf numFmtId="166" fontId="0" fillId="23" borderId="1" xfId="0" applyNumberFormat="1" applyFill="1" applyBorder="1" applyAlignment="1">
      <alignment horizontal="center" vertical="center"/>
    </xf>
    <xf numFmtId="168" fontId="0" fillId="18" borderId="1" xfId="0" applyNumberFormat="1" applyFill="1" applyBorder="1" applyAlignment="1">
      <alignment horizontal="center" vertical="center"/>
    </xf>
    <xf numFmtId="166" fontId="0" fillId="7" borderId="1" xfId="0" applyNumberFormat="1" applyFill="1" applyBorder="1" applyAlignment="1">
      <alignment horizontal="center" vertical="center"/>
    </xf>
    <xf numFmtId="0" fontId="0" fillId="24" borderId="1" xfId="0" applyFill="1" applyBorder="1"/>
    <xf numFmtId="169" fontId="0" fillId="24" borderId="1" xfId="1" applyNumberFormat="1" applyFont="1" applyFill="1" applyBorder="1"/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11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165" fontId="0" fillId="22" borderId="1" xfId="0" applyNumberFormat="1" applyFill="1" applyBorder="1" applyAlignment="1">
      <alignment horizontal="center"/>
    </xf>
    <xf numFmtId="165" fontId="0" fillId="7" borderId="1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 vertical="center"/>
    </xf>
    <xf numFmtId="0" fontId="0" fillId="13" borderId="1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/>
    </xf>
    <xf numFmtId="165" fontId="0" fillId="16" borderId="1" xfId="0" applyNumberFormat="1" applyFill="1" applyBorder="1" applyAlignment="1">
      <alignment horizontal="center" vertical="center"/>
    </xf>
    <xf numFmtId="165" fontId="0" fillId="12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11" borderId="1" xfId="0" applyFill="1" applyBorder="1" applyAlignment="1">
      <alignment horizontal="center" vertical="center"/>
    </xf>
    <xf numFmtId="0" fontId="0" fillId="8" borderId="2" xfId="0" applyFill="1" applyBorder="1" applyAlignment="1">
      <alignment horizontal="left"/>
    </xf>
    <xf numFmtId="0" fontId="0" fillId="0" borderId="1" xfId="0" applyBorder="1" applyAlignment="1">
      <alignment horizontal="center" vertical="center"/>
    </xf>
    <xf numFmtId="0" fontId="0" fillId="11" borderId="1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166" fontId="0" fillId="0" borderId="5" xfId="0" applyNumberFormat="1" applyBorder="1" applyAlignment="1">
      <alignment horizontal="center" vertical="center"/>
    </xf>
    <xf numFmtId="166" fontId="0" fillId="0" borderId="6" xfId="0" applyNumberFormat="1" applyBorder="1" applyAlignment="1">
      <alignment horizontal="center" vertical="center"/>
    </xf>
    <xf numFmtId="0" fontId="0" fillId="25" borderId="1" xfId="0" applyFill="1" applyBorder="1" applyAlignment="1">
      <alignment horizontal="center" vertical="center"/>
    </xf>
    <xf numFmtId="165" fontId="0" fillId="25" borderId="1" xfId="0" applyNumberFormat="1" applyFill="1" applyBorder="1" applyAlignment="1">
      <alignment horizontal="center" vertical="center"/>
    </xf>
    <xf numFmtId="165" fontId="0" fillId="11" borderId="1" xfId="0" applyNumberFormat="1" applyFill="1" applyBorder="1" applyAlignment="1">
      <alignment horizontal="center" vertical="center"/>
    </xf>
    <xf numFmtId="165" fontId="0" fillId="22" borderId="1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</cellXfs>
  <cellStyles count="2">
    <cellStyle name="Обычный" xfId="0" builtinId="0"/>
    <cellStyle name="Процентный" xfId="1" builtinId="5"/>
  </cellStyles>
  <dxfs count="0"/>
  <tableStyles count="0" defaultTableStyle="TableStyleMedium9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E6B9B8"/>
      <rgbColor rgb="FF808080"/>
      <rgbColor rgb="FF9999FF"/>
      <rgbColor rgb="FF993366"/>
      <rgbColor rgb="FFEBF1DE"/>
      <rgbColor rgb="FFCCFFFF"/>
      <rgbColor rgb="FF660066"/>
      <rgbColor rgb="FFFF8080"/>
      <rgbColor rgb="FF0066CC"/>
      <rgbColor rgb="FFC6D9F1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2DCDB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externalLink" Target="externalLinks/externalLink1.xml"/><Relationship Id="rId30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ru-RU"/>
  <c:chart>
    <c:plotArea>
      <c:layout/>
      <c:scatterChart>
        <c:scatterStyle val="smoothMarker"/>
        <c:ser>
          <c:idx val="0"/>
          <c:order val="0"/>
          <c:tx>
            <c:strRef>
              <c:f>'Метод Эйлера'!$A$3</c:f>
              <c:strCache>
                <c:ptCount val="1"/>
                <c:pt idx="0">
                  <c:v>yk</c:v>
                </c:pt>
              </c:strCache>
            </c:strRef>
          </c:tx>
          <c:xVal>
            <c:numRef>
              <c:f>'Метод Эйлера'!$B$2:$G$2</c:f>
              <c:numCache>
                <c:formatCode>General</c:formatCode>
                <c:ptCount val="6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0.60000000000000009</c:v>
                </c:pt>
                <c:pt idx="4">
                  <c:v>0.8</c:v>
                </c:pt>
                <c:pt idx="5">
                  <c:v>1</c:v>
                </c:pt>
              </c:numCache>
            </c:numRef>
          </c:xVal>
          <c:yVal>
            <c:numRef>
              <c:f>'Метод Эйлера'!$B$3:$G$3</c:f>
              <c:numCache>
                <c:formatCode>0.0000</c:formatCode>
                <c:ptCount val="6"/>
                <c:pt idx="0" formatCode="General">
                  <c:v>1</c:v>
                </c:pt>
                <c:pt idx="1">
                  <c:v>0.8</c:v>
                </c:pt>
                <c:pt idx="2">
                  <c:v>0.64</c:v>
                </c:pt>
                <c:pt idx="3">
                  <c:v>0.51200000000000001</c:v>
                </c:pt>
                <c:pt idx="4">
                  <c:v>0.40960000000000002</c:v>
                </c:pt>
                <c:pt idx="5">
                  <c:v>0.32768000000000003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'Метод Эйлера'!$A$4</c:f>
              <c:strCache>
                <c:ptCount val="1"/>
                <c:pt idx="0">
                  <c:v>yk*</c:v>
                </c:pt>
              </c:strCache>
            </c:strRef>
          </c:tx>
          <c:xVal>
            <c:numRef>
              <c:f>'Метод Эйлера'!$B$2:$G$2</c:f>
              <c:numCache>
                <c:formatCode>General</c:formatCode>
                <c:ptCount val="6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0.60000000000000009</c:v>
                </c:pt>
                <c:pt idx="4">
                  <c:v>0.8</c:v>
                </c:pt>
                <c:pt idx="5">
                  <c:v>1</c:v>
                </c:pt>
              </c:numCache>
            </c:numRef>
          </c:xVal>
          <c:yVal>
            <c:numRef>
              <c:f>'Метод Эйлера'!$B$4:$G$4</c:f>
              <c:numCache>
                <c:formatCode>0.0000</c:formatCode>
                <c:ptCount val="6"/>
                <c:pt idx="0" formatCode="General">
                  <c:v>1</c:v>
                </c:pt>
                <c:pt idx="1">
                  <c:v>0.81873075307798182</c:v>
                </c:pt>
                <c:pt idx="2">
                  <c:v>0.67032004603563933</c:v>
                </c:pt>
                <c:pt idx="3">
                  <c:v>0.54881163609402639</c:v>
                </c:pt>
                <c:pt idx="4">
                  <c:v>0.44932896411722156</c:v>
                </c:pt>
                <c:pt idx="5">
                  <c:v>0.36787944117144233</c:v>
                </c:pt>
              </c:numCache>
            </c:numRef>
          </c:yVal>
          <c:smooth val="1"/>
        </c:ser>
        <c:axId val="84571648"/>
        <c:axId val="84573184"/>
      </c:scatterChart>
      <c:valAx>
        <c:axId val="84571648"/>
        <c:scaling>
          <c:orientation val="minMax"/>
          <c:max val="1"/>
        </c:scaling>
        <c:axPos val="b"/>
        <c:majorGridlines/>
        <c:numFmt formatCode="General" sourceLinked="1"/>
        <c:tickLblPos val="nextTo"/>
        <c:crossAx val="84573184"/>
        <c:crosses val="autoZero"/>
        <c:crossBetween val="midCat"/>
        <c:majorUnit val="0.1"/>
      </c:valAx>
      <c:valAx>
        <c:axId val="84573184"/>
        <c:scaling>
          <c:orientation val="minMax"/>
          <c:max val="1"/>
          <c:min val="0.30000000000000016"/>
        </c:scaling>
        <c:axPos val="l"/>
        <c:majorGridlines/>
        <c:numFmt formatCode="General" sourceLinked="1"/>
        <c:tickLblPos val="nextTo"/>
        <c:crossAx val="84571648"/>
        <c:crosses val="autoZero"/>
        <c:crossBetween val="midCat"/>
        <c:majorUnit val="0.1"/>
      </c:valAx>
    </c:plotArea>
    <c:legend>
      <c:legendPos val="r"/>
      <c:layout/>
    </c:legend>
    <c:plotVisOnly val="1"/>
  </c:chart>
  <c:printSettings>
    <c:headerFooter/>
    <c:pageMargins b="0.75000000000000022" l="0.70000000000000018" r="0.70000000000000018" t="0.75000000000000022" header="0.3000000000000001" footer="0.3000000000000001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ru-RU"/>
  <c:chart>
    <c:plotArea>
      <c:layout/>
      <c:scatterChart>
        <c:scatterStyle val="smoothMarker"/>
        <c:ser>
          <c:idx val="0"/>
          <c:order val="0"/>
          <c:tx>
            <c:v>yi</c:v>
          </c:tx>
          <c:xVal>
            <c:numRef>
              <c:f>Барон!$B$2:$B$12</c:f>
              <c:numCache>
                <c:formatCode>General</c:formatCode>
                <c:ptCount val="11"/>
                <c:pt idx="0">
                  <c:v>1</c:v>
                </c:pt>
                <c:pt idx="1">
                  <c:v>1.1000000000000001</c:v>
                </c:pt>
                <c:pt idx="2">
                  <c:v>1.2000000000000002</c:v>
                </c:pt>
                <c:pt idx="3">
                  <c:v>1.3000000000000003</c:v>
                </c:pt>
                <c:pt idx="4">
                  <c:v>1.4000000000000004</c:v>
                </c:pt>
                <c:pt idx="5">
                  <c:v>1.5000000000000004</c:v>
                </c:pt>
                <c:pt idx="6">
                  <c:v>1.6000000000000005</c:v>
                </c:pt>
                <c:pt idx="7">
                  <c:v>1.7000000000000006</c:v>
                </c:pt>
                <c:pt idx="8">
                  <c:v>1.8000000000000007</c:v>
                </c:pt>
                <c:pt idx="9">
                  <c:v>1.9000000000000008</c:v>
                </c:pt>
                <c:pt idx="10">
                  <c:v>2.0000000000000009</c:v>
                </c:pt>
              </c:numCache>
            </c:numRef>
          </c:xVal>
          <c:yVal>
            <c:numRef>
              <c:f>Барон!$C$2:$C$12</c:f>
              <c:numCache>
                <c:formatCode>0.0000</c:formatCode>
                <c:ptCount val="11"/>
                <c:pt idx="0">
                  <c:v>0</c:v>
                </c:pt>
                <c:pt idx="1">
                  <c:v>0.30000000000000004</c:v>
                </c:pt>
                <c:pt idx="2">
                  <c:v>0.54545454545454541</c:v>
                </c:pt>
                <c:pt idx="3">
                  <c:v>0.74999999999999989</c:v>
                </c:pt>
                <c:pt idx="4">
                  <c:v>0.92307692307692291</c:v>
                </c:pt>
                <c:pt idx="5">
                  <c:v>1.0714285714285712</c:v>
                </c:pt>
                <c:pt idx="6">
                  <c:v>1.1999999999999997</c:v>
                </c:pt>
                <c:pt idx="7">
                  <c:v>1.3124999999999998</c:v>
                </c:pt>
                <c:pt idx="8">
                  <c:v>1.4117647058823528</c:v>
                </c:pt>
                <c:pt idx="9">
                  <c:v>1.4999999999999998</c:v>
                </c:pt>
                <c:pt idx="10">
                  <c:v>1.5789473684210524</c:v>
                </c:pt>
              </c:numCache>
            </c:numRef>
          </c:yVal>
          <c:smooth val="1"/>
        </c:ser>
        <c:ser>
          <c:idx val="1"/>
          <c:order val="1"/>
          <c:tx>
            <c:v>yi*</c:v>
          </c:tx>
          <c:xVal>
            <c:numRef>
              <c:f>Барон!$B$2:$B$12</c:f>
              <c:numCache>
                <c:formatCode>General</c:formatCode>
                <c:ptCount val="11"/>
                <c:pt idx="0">
                  <c:v>1</c:v>
                </c:pt>
                <c:pt idx="1">
                  <c:v>1.1000000000000001</c:v>
                </c:pt>
                <c:pt idx="2">
                  <c:v>1.2000000000000002</c:v>
                </c:pt>
                <c:pt idx="3">
                  <c:v>1.3000000000000003</c:v>
                </c:pt>
                <c:pt idx="4">
                  <c:v>1.4000000000000004</c:v>
                </c:pt>
                <c:pt idx="5">
                  <c:v>1.5000000000000004</c:v>
                </c:pt>
                <c:pt idx="6">
                  <c:v>1.6000000000000005</c:v>
                </c:pt>
                <c:pt idx="7">
                  <c:v>1.7000000000000006</c:v>
                </c:pt>
                <c:pt idx="8">
                  <c:v>1.8000000000000007</c:v>
                </c:pt>
                <c:pt idx="9">
                  <c:v>1.9000000000000008</c:v>
                </c:pt>
                <c:pt idx="10">
                  <c:v>2.0000000000000009</c:v>
                </c:pt>
              </c:numCache>
            </c:numRef>
          </c:xVal>
          <c:yVal>
            <c:numRef>
              <c:f>Барон!$D$2:$D$12</c:f>
              <c:numCache>
                <c:formatCode>0.0000</c:formatCode>
                <c:ptCount val="11"/>
                <c:pt idx="0">
                  <c:v>0</c:v>
                </c:pt>
                <c:pt idx="1">
                  <c:v>0.27272727272727293</c:v>
                </c:pt>
                <c:pt idx="2">
                  <c:v>0.50000000000000044</c:v>
                </c:pt>
                <c:pt idx="3">
                  <c:v>0.69230769230769296</c:v>
                </c:pt>
                <c:pt idx="4">
                  <c:v>0.85714285714285765</c:v>
                </c:pt>
                <c:pt idx="5">
                  <c:v>1.0000000000000007</c:v>
                </c:pt>
                <c:pt idx="6">
                  <c:v>1.1250000000000007</c:v>
                </c:pt>
                <c:pt idx="7">
                  <c:v>1.2352941176470595</c:v>
                </c:pt>
                <c:pt idx="8">
                  <c:v>1.3333333333333339</c:v>
                </c:pt>
                <c:pt idx="9">
                  <c:v>1.421052631578948</c:v>
                </c:pt>
                <c:pt idx="10">
                  <c:v>1.5000000000000007</c:v>
                </c:pt>
              </c:numCache>
            </c:numRef>
          </c:yVal>
          <c:smooth val="1"/>
        </c:ser>
        <c:axId val="87392256"/>
        <c:axId val="87393792"/>
      </c:scatterChart>
      <c:valAx>
        <c:axId val="87392256"/>
        <c:scaling>
          <c:orientation val="minMax"/>
          <c:max val="2"/>
          <c:min val="1"/>
        </c:scaling>
        <c:axPos val="b"/>
        <c:majorGridlines/>
        <c:numFmt formatCode="General" sourceLinked="1"/>
        <c:tickLblPos val="nextTo"/>
        <c:crossAx val="87393792"/>
        <c:crosses val="autoZero"/>
        <c:crossBetween val="midCat"/>
        <c:majorUnit val="0.1"/>
      </c:valAx>
      <c:valAx>
        <c:axId val="87393792"/>
        <c:scaling>
          <c:orientation val="minMax"/>
          <c:max val="1.6"/>
          <c:min val="0"/>
        </c:scaling>
        <c:axPos val="l"/>
        <c:majorGridlines/>
        <c:numFmt formatCode="0.0" sourceLinked="0"/>
        <c:tickLblPos val="nextTo"/>
        <c:crossAx val="87392256"/>
        <c:crosses val="autoZero"/>
        <c:crossBetween val="midCat"/>
        <c:majorUnit val="0.1"/>
      </c:valAx>
    </c:plotArea>
    <c:legend>
      <c:legendPos val="r"/>
      <c:layout/>
    </c:legend>
    <c:plotVisOnly val="1"/>
  </c:chart>
  <c:printSettings>
    <c:headerFooter/>
    <c:pageMargins b="0.75000000000000022" l="0.70000000000000018" r="0.70000000000000018" t="0.75000000000000022" header="0.3000000000000001" footer="0.3000000000000001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ru-RU"/>
  <c:chart>
    <c:plotArea>
      <c:layout/>
      <c:scatterChart>
        <c:scatterStyle val="smoothMarker"/>
        <c:ser>
          <c:idx val="0"/>
          <c:order val="0"/>
          <c:tx>
            <c:strRef>
              <c:f>'[1]2 пример+уточнён мет'!$C$1</c:f>
              <c:strCache>
                <c:ptCount val="1"/>
                <c:pt idx="0">
                  <c:v>yi</c:v>
                </c:pt>
              </c:strCache>
            </c:strRef>
          </c:tx>
          <c:xVal>
            <c:numRef>
              <c:f>'[1]2 пример+уточнён мет'!$B$2:$B$12</c:f>
              <c:numCache>
                <c:formatCode>General</c:formatCode>
                <c:ptCount val="11"/>
                <c:pt idx="0">
                  <c:v>1</c:v>
                </c:pt>
                <c:pt idx="1">
                  <c:v>1.1000000000000001</c:v>
                </c:pt>
                <c:pt idx="2">
                  <c:v>1.2000000000000002</c:v>
                </c:pt>
                <c:pt idx="3">
                  <c:v>1.3000000000000003</c:v>
                </c:pt>
                <c:pt idx="4">
                  <c:v>1.4000000000000004</c:v>
                </c:pt>
                <c:pt idx="5">
                  <c:v>1.5000000000000004</c:v>
                </c:pt>
                <c:pt idx="6">
                  <c:v>1.6000000000000005</c:v>
                </c:pt>
                <c:pt idx="7">
                  <c:v>1.7000000000000006</c:v>
                </c:pt>
                <c:pt idx="8">
                  <c:v>1.8000000000000007</c:v>
                </c:pt>
                <c:pt idx="9">
                  <c:v>1.9000000000000008</c:v>
                </c:pt>
                <c:pt idx="10">
                  <c:v>2.0000000000000009</c:v>
                </c:pt>
              </c:numCache>
            </c:numRef>
          </c:xVal>
          <c:yVal>
            <c:numRef>
              <c:f>'[1]2 пример+уточнён мет'!$C$2:$C$12</c:f>
              <c:numCache>
                <c:formatCode>General</c:formatCode>
                <c:ptCount val="11"/>
                <c:pt idx="0">
                  <c:v>0</c:v>
                </c:pt>
                <c:pt idx="1">
                  <c:v>0.30000000000000004</c:v>
                </c:pt>
                <c:pt idx="2">
                  <c:v>0.54545454545454541</c:v>
                </c:pt>
                <c:pt idx="3">
                  <c:v>0.74999999999999989</c:v>
                </c:pt>
                <c:pt idx="4">
                  <c:v>0.92307692307692291</c:v>
                </c:pt>
                <c:pt idx="5">
                  <c:v>1.0714285714285712</c:v>
                </c:pt>
                <c:pt idx="6">
                  <c:v>1.1999999999999997</c:v>
                </c:pt>
                <c:pt idx="7">
                  <c:v>1.3124999999999998</c:v>
                </c:pt>
                <c:pt idx="8">
                  <c:v>1.4117647058823528</c:v>
                </c:pt>
                <c:pt idx="9">
                  <c:v>1.4999999999999998</c:v>
                </c:pt>
                <c:pt idx="10">
                  <c:v>1.5789473684210524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'[1]2 пример+уточнён мет'!$D$1</c:f>
              <c:strCache>
                <c:ptCount val="1"/>
                <c:pt idx="0">
                  <c:v>yi*</c:v>
                </c:pt>
              </c:strCache>
            </c:strRef>
          </c:tx>
          <c:xVal>
            <c:numRef>
              <c:f>'[1]2 пример+уточнён мет'!$B$2:$B$12</c:f>
              <c:numCache>
                <c:formatCode>General</c:formatCode>
                <c:ptCount val="11"/>
                <c:pt idx="0">
                  <c:v>1</c:v>
                </c:pt>
                <c:pt idx="1">
                  <c:v>1.1000000000000001</c:v>
                </c:pt>
                <c:pt idx="2">
                  <c:v>1.2000000000000002</c:v>
                </c:pt>
                <c:pt idx="3">
                  <c:v>1.3000000000000003</c:v>
                </c:pt>
                <c:pt idx="4">
                  <c:v>1.4000000000000004</c:v>
                </c:pt>
                <c:pt idx="5">
                  <c:v>1.5000000000000004</c:v>
                </c:pt>
                <c:pt idx="6">
                  <c:v>1.6000000000000005</c:v>
                </c:pt>
                <c:pt idx="7">
                  <c:v>1.7000000000000006</c:v>
                </c:pt>
                <c:pt idx="8">
                  <c:v>1.8000000000000007</c:v>
                </c:pt>
                <c:pt idx="9">
                  <c:v>1.9000000000000008</c:v>
                </c:pt>
                <c:pt idx="10">
                  <c:v>2.0000000000000009</c:v>
                </c:pt>
              </c:numCache>
            </c:numRef>
          </c:xVal>
          <c:yVal>
            <c:numRef>
              <c:f>'[1]2 пример+уточнён мет'!$D$2:$D$12</c:f>
              <c:numCache>
                <c:formatCode>General</c:formatCode>
                <c:ptCount val="11"/>
                <c:pt idx="0">
                  <c:v>0</c:v>
                </c:pt>
                <c:pt idx="1">
                  <c:v>0.27272727272727293</c:v>
                </c:pt>
                <c:pt idx="2">
                  <c:v>0.50000000000000044</c:v>
                </c:pt>
                <c:pt idx="3">
                  <c:v>0.69230769230769296</c:v>
                </c:pt>
                <c:pt idx="4">
                  <c:v>0.85714285714285765</c:v>
                </c:pt>
                <c:pt idx="5">
                  <c:v>1.0000000000000007</c:v>
                </c:pt>
                <c:pt idx="6">
                  <c:v>1.1250000000000007</c:v>
                </c:pt>
                <c:pt idx="7">
                  <c:v>1.2352941176470595</c:v>
                </c:pt>
                <c:pt idx="8">
                  <c:v>1.3333333333333339</c:v>
                </c:pt>
                <c:pt idx="9">
                  <c:v>1.421052631578948</c:v>
                </c:pt>
                <c:pt idx="10">
                  <c:v>1.5000000000000007</c:v>
                </c:pt>
              </c:numCache>
            </c:numRef>
          </c:yVal>
          <c:smooth val="1"/>
        </c:ser>
        <c:ser>
          <c:idx val="2"/>
          <c:order val="2"/>
          <c:tx>
            <c:strRef>
              <c:f>'[1]2 пример+уточнён мет'!$E$1</c:f>
              <c:strCache>
                <c:ptCount val="1"/>
                <c:pt idx="0">
                  <c:v>yi **</c:v>
                </c:pt>
              </c:strCache>
            </c:strRef>
          </c:tx>
          <c:xVal>
            <c:numRef>
              <c:f>'[1]2 пример+уточнён мет'!$B$2:$B$12</c:f>
              <c:numCache>
                <c:formatCode>General</c:formatCode>
                <c:ptCount val="11"/>
                <c:pt idx="0">
                  <c:v>1</c:v>
                </c:pt>
                <c:pt idx="1">
                  <c:v>1.1000000000000001</c:v>
                </c:pt>
                <c:pt idx="2">
                  <c:v>1.2000000000000002</c:v>
                </c:pt>
                <c:pt idx="3">
                  <c:v>1.3000000000000003</c:v>
                </c:pt>
                <c:pt idx="4">
                  <c:v>1.4000000000000004</c:v>
                </c:pt>
                <c:pt idx="5">
                  <c:v>1.5000000000000004</c:v>
                </c:pt>
                <c:pt idx="6">
                  <c:v>1.6000000000000005</c:v>
                </c:pt>
                <c:pt idx="7">
                  <c:v>1.7000000000000006</c:v>
                </c:pt>
                <c:pt idx="8">
                  <c:v>1.8000000000000007</c:v>
                </c:pt>
                <c:pt idx="9">
                  <c:v>1.9000000000000008</c:v>
                </c:pt>
                <c:pt idx="10">
                  <c:v>2.0000000000000009</c:v>
                </c:pt>
              </c:numCache>
            </c:numRef>
          </c:xVal>
          <c:yVal>
            <c:numRef>
              <c:f>'[1]2 пример+уточнён мет'!$E$2:$E$12</c:f>
              <c:numCache>
                <c:formatCode>General</c:formatCode>
                <c:ptCount val="11"/>
                <c:pt idx="0">
                  <c:v>0</c:v>
                </c:pt>
                <c:pt idx="1">
                  <c:v>0.27142857142857146</c:v>
                </c:pt>
                <c:pt idx="2">
                  <c:v>0.4961038961038961</c:v>
                </c:pt>
                <c:pt idx="3">
                  <c:v>0.68874458874458877</c:v>
                </c:pt>
                <c:pt idx="4">
                  <c:v>0.85168165168165166</c:v>
                </c:pt>
                <c:pt idx="5">
                  <c:v>0.99564720993292422</c:v>
                </c:pt>
                <c:pt idx="6">
                  <c:v>1.1189286903572617</c:v>
                </c:pt>
                <c:pt idx="7">
                  <c:v>1.2307811236382664</c:v>
                </c:pt>
                <c:pt idx="8">
                  <c:v>1.3270720875762891</c:v>
                </c:pt>
                <c:pt idx="9">
                  <c:v>1.4166620027964565</c:v>
                </c:pt>
                <c:pt idx="10">
                  <c:v>1.493739245176662</c:v>
                </c:pt>
              </c:numCache>
            </c:numRef>
          </c:yVal>
          <c:smooth val="1"/>
        </c:ser>
        <c:axId val="65462272"/>
        <c:axId val="65464960"/>
      </c:scatterChart>
      <c:valAx>
        <c:axId val="65462272"/>
        <c:scaling>
          <c:orientation val="minMax"/>
          <c:max val="2"/>
          <c:min val="1"/>
        </c:scaling>
        <c:axPos val="b"/>
        <c:majorGridlines/>
        <c:numFmt formatCode="General" sourceLinked="1"/>
        <c:tickLblPos val="nextTo"/>
        <c:crossAx val="65464960"/>
        <c:crosses val="autoZero"/>
        <c:crossBetween val="midCat"/>
        <c:majorUnit val="0.1"/>
      </c:valAx>
      <c:valAx>
        <c:axId val="65464960"/>
        <c:scaling>
          <c:orientation val="minMax"/>
          <c:max val="1.6"/>
        </c:scaling>
        <c:axPos val="l"/>
        <c:majorGridlines/>
        <c:numFmt formatCode="0.0" sourceLinked="0"/>
        <c:tickLblPos val="nextTo"/>
        <c:crossAx val="65462272"/>
        <c:crosses val="autoZero"/>
        <c:crossBetween val="midCat"/>
        <c:majorUnit val="0.1"/>
      </c:valAx>
    </c:plotArea>
    <c:legend>
      <c:legendPos val="r"/>
      <c:layout/>
    </c:legend>
    <c:plotVisOnly val="1"/>
  </c:chart>
  <c:printSettings>
    <c:headerFooter/>
    <c:pageMargins b="0.750000000000002" l="0.70000000000000062" r="0.70000000000000062" t="0.750000000000002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ru-RU"/>
  <c:chart>
    <c:plotArea>
      <c:layout/>
      <c:scatterChart>
        <c:scatterStyle val="smoothMarker"/>
        <c:ser>
          <c:idx val="0"/>
          <c:order val="0"/>
          <c:tx>
            <c:strRef>
              <c:f>'Барон уточн Эйлера (2)'!$C$1</c:f>
              <c:strCache>
                <c:ptCount val="1"/>
                <c:pt idx="0">
                  <c:v>yi</c:v>
                </c:pt>
              </c:strCache>
            </c:strRef>
          </c:tx>
          <c:xVal>
            <c:numRef>
              <c:f>'Барон уточн Эйлера (2)'!$B$2:$B$12</c:f>
              <c:numCache>
                <c:formatCode>General</c:formatCode>
                <c:ptCount val="1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0.30000000000000004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0.79999999999999993</c:v>
                </c:pt>
                <c:pt idx="9">
                  <c:v>0.89999999999999991</c:v>
                </c:pt>
                <c:pt idx="10">
                  <c:v>0.99999999999999989</c:v>
                </c:pt>
              </c:numCache>
            </c:numRef>
          </c:xVal>
          <c:yVal>
            <c:numRef>
              <c:f>'Барон уточн Эйлера (2)'!$C$2:$C$12</c:f>
              <c:numCache>
                <c:formatCode>0.0000</c:formatCode>
                <c:ptCount val="11"/>
                <c:pt idx="0">
                  <c:v>1.25</c:v>
                </c:pt>
                <c:pt idx="1">
                  <c:v>1</c:v>
                </c:pt>
                <c:pt idx="2">
                  <c:v>0.80099999999999993</c:v>
                </c:pt>
                <c:pt idx="3">
                  <c:v>0.64479999999999993</c:v>
                </c:pt>
                <c:pt idx="4">
                  <c:v>0.52483999999999997</c:v>
                </c:pt>
                <c:pt idx="5">
                  <c:v>0.43587199999999998</c:v>
                </c:pt>
                <c:pt idx="6">
                  <c:v>0.37369759999999996</c:v>
                </c:pt>
                <c:pt idx="7">
                  <c:v>0.33495807999999994</c:v>
                </c:pt>
                <c:pt idx="8">
                  <c:v>0.31696646399999995</c:v>
                </c:pt>
                <c:pt idx="9">
                  <c:v>0.31757317119999995</c:v>
                </c:pt>
                <c:pt idx="10">
                  <c:v>0.33505853695999993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'Барон уточн Эйлера (2)'!$D$1</c:f>
              <c:strCache>
                <c:ptCount val="1"/>
                <c:pt idx="0">
                  <c:v>yi*</c:v>
                </c:pt>
              </c:strCache>
            </c:strRef>
          </c:tx>
          <c:xVal>
            <c:numRef>
              <c:f>'Барон уточн Эйлера (2)'!$B$2:$B$12</c:f>
              <c:numCache>
                <c:formatCode>General</c:formatCode>
                <c:ptCount val="1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0.30000000000000004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0.79999999999999993</c:v>
                </c:pt>
                <c:pt idx="9">
                  <c:v>0.89999999999999991</c:v>
                </c:pt>
                <c:pt idx="10">
                  <c:v>0.99999999999999989</c:v>
                </c:pt>
              </c:numCache>
            </c:numRef>
          </c:xVal>
          <c:yVal>
            <c:numRef>
              <c:f>'Барон уточн Эйлера (2)'!$D$2:$D$12</c:f>
              <c:numCache>
                <c:formatCode>0.0000</c:formatCode>
                <c:ptCount val="11"/>
                <c:pt idx="0">
                  <c:v>1.25</c:v>
                </c:pt>
                <c:pt idx="1">
                  <c:v>1.0237307530779818</c:v>
                </c:pt>
                <c:pt idx="2">
                  <c:v>0.84032004603563937</c:v>
                </c:pt>
                <c:pt idx="3">
                  <c:v>0.69381163609402641</c:v>
                </c:pt>
                <c:pt idx="4">
                  <c:v>0.57932896411722168</c:v>
                </c:pt>
                <c:pt idx="5">
                  <c:v>0.49287944117144233</c:v>
                </c:pt>
                <c:pt idx="6">
                  <c:v>0.43119421191220214</c:v>
                </c:pt>
                <c:pt idx="7">
                  <c:v>0.39159696394160648</c:v>
                </c:pt>
                <c:pt idx="8">
                  <c:v>0.37189651799465545</c:v>
                </c:pt>
                <c:pt idx="9">
                  <c:v>0.37029888822158652</c:v>
                </c:pt>
                <c:pt idx="10">
                  <c:v>0.38533528323661265</c:v>
                </c:pt>
              </c:numCache>
            </c:numRef>
          </c:yVal>
          <c:smooth val="1"/>
        </c:ser>
        <c:ser>
          <c:idx val="2"/>
          <c:order val="2"/>
          <c:tx>
            <c:strRef>
              <c:f>'Барон уточн Эйлера (2)'!$E$1</c:f>
              <c:strCache>
                <c:ptCount val="1"/>
                <c:pt idx="0">
                  <c:v>yi**</c:v>
                </c:pt>
              </c:strCache>
            </c:strRef>
          </c:tx>
          <c:xVal>
            <c:numRef>
              <c:f>'Барон уточн Эйлера (2)'!$B$2:$B$12</c:f>
              <c:numCache>
                <c:formatCode>General</c:formatCode>
                <c:ptCount val="1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0.30000000000000004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0.79999999999999993</c:v>
                </c:pt>
                <c:pt idx="9">
                  <c:v>0.89999999999999991</c:v>
                </c:pt>
                <c:pt idx="10">
                  <c:v>0.99999999999999989</c:v>
                </c:pt>
              </c:numCache>
            </c:numRef>
          </c:xVal>
          <c:yVal>
            <c:numRef>
              <c:f>'Барон уточн Эйлера (2)'!$E$2:$E$12</c:f>
              <c:numCache>
                <c:formatCode>0.0000</c:formatCode>
                <c:ptCount val="11"/>
                <c:pt idx="0">
                  <c:v>1.25</c:v>
                </c:pt>
                <c:pt idx="1">
                  <c:v>1.02525</c:v>
                </c:pt>
                <c:pt idx="2">
                  <c:v>0.84189999999999987</c:v>
                </c:pt>
                <c:pt idx="3">
                  <c:v>0.69649000000000005</c:v>
                </c:pt>
                <c:pt idx="4">
                  <c:v>0.58130399999999982</c:v>
                </c:pt>
                <c:pt idx="5">
                  <c:v>0.49596840000000014</c:v>
                </c:pt>
                <c:pt idx="6">
                  <c:v>0.43291663999999974</c:v>
                </c:pt>
                <c:pt idx="7">
                  <c:v>0.39480174400000023</c:v>
                </c:pt>
                <c:pt idx="8">
                  <c:v>0.37299594239999961</c:v>
                </c:pt>
                <c:pt idx="9">
                  <c:v>0.37360336704000036</c:v>
                </c:pt>
                <c:pt idx="10">
                  <c:v>0.38555459558399946</c:v>
                </c:pt>
              </c:numCache>
            </c:numRef>
          </c:yVal>
          <c:smooth val="1"/>
        </c:ser>
        <c:axId val="78119296"/>
        <c:axId val="67000960"/>
      </c:scatterChart>
      <c:valAx>
        <c:axId val="78119296"/>
        <c:scaling>
          <c:orientation val="minMax"/>
          <c:max val="1"/>
          <c:min val="0"/>
        </c:scaling>
        <c:axPos val="b"/>
        <c:majorGridlines/>
        <c:numFmt formatCode="General" sourceLinked="1"/>
        <c:tickLblPos val="nextTo"/>
        <c:crossAx val="67000960"/>
        <c:crosses val="autoZero"/>
        <c:crossBetween val="midCat"/>
        <c:majorUnit val="0.1"/>
      </c:valAx>
      <c:valAx>
        <c:axId val="67000960"/>
        <c:scaling>
          <c:orientation val="minMax"/>
          <c:max val="1.25"/>
          <c:min val="0.30000000000000004"/>
        </c:scaling>
        <c:axPos val="l"/>
        <c:majorGridlines/>
        <c:numFmt formatCode="0.0000" sourceLinked="1"/>
        <c:tickLblPos val="nextTo"/>
        <c:crossAx val="78119296"/>
        <c:crosses val="autoZero"/>
        <c:crossBetween val="midCat"/>
        <c:majorUnit val="0.05"/>
      </c:valAx>
    </c:plotArea>
    <c:legend>
      <c:legendPos val="r"/>
      <c:layout/>
    </c:legend>
    <c:plotVisOnly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chart" Target="../charts/chart1.xml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image" Target="../media/image15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image" Target="../media/image15.png"/><Relationship Id="rId1" Type="http://schemas.openxmlformats.org/officeDocument/2006/relationships/image" Target="../media/image1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342735</xdr:colOff>
      <xdr:row>3</xdr:row>
      <xdr:rowOff>47715</xdr:rowOff>
    </xdr:from>
    <xdr:to>
      <xdr:col>22</xdr:col>
      <xdr:colOff>113820</xdr:colOff>
      <xdr:row>6</xdr:row>
      <xdr:rowOff>133035</xdr:rowOff>
    </xdr:to>
    <xdr:pic>
      <xdr:nvPicPr>
        <xdr:cNvPr id="2" name="Picture 1"/>
        <xdr:cNvPicPr/>
      </xdr:nvPicPr>
      <xdr:blipFill>
        <a:blip xmlns:r="http://schemas.openxmlformats.org/officeDocument/2006/relationships" r:embed="rId1" cstate="print"/>
        <a:stretch/>
      </xdr:blipFill>
      <xdr:spPr>
        <a:xfrm>
          <a:off x="6362535" y="619215"/>
          <a:ext cx="6743385" cy="6568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</xdr:row>
      <xdr:rowOff>0</xdr:rowOff>
    </xdr:from>
    <xdr:to>
      <xdr:col>39</xdr:col>
      <xdr:colOff>0</xdr:colOff>
      <xdr:row>57</xdr:row>
      <xdr:rowOff>0</xdr:rowOff>
    </xdr:to>
    <xdr:pic>
      <xdr:nvPicPr>
        <xdr:cNvPr id="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86400" y="5715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0</xdr:colOff>
      <xdr:row>72</xdr:row>
      <xdr:rowOff>0</xdr:rowOff>
    </xdr:from>
    <xdr:to>
      <xdr:col>47</xdr:col>
      <xdr:colOff>0</xdr:colOff>
      <xdr:row>126</xdr:row>
      <xdr:rowOff>0</xdr:rowOff>
    </xdr:to>
    <xdr:pic>
      <xdr:nvPicPr>
        <xdr:cNvPr id="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363200" y="13716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31</xdr:col>
      <xdr:colOff>462643</xdr:colOff>
      <xdr:row>84</xdr:row>
      <xdr:rowOff>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19200" y="5715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31</xdr:col>
      <xdr:colOff>0</xdr:colOff>
      <xdr:row>84</xdr:row>
      <xdr:rowOff>0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19200" y="5715000"/>
          <a:ext cx="18293443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31</xdr:col>
      <xdr:colOff>462643</xdr:colOff>
      <xdr:row>84</xdr:row>
      <xdr:rowOff>0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19200" y="5715000"/>
          <a:ext cx="18293443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30</xdr:col>
      <xdr:colOff>326572</xdr:colOff>
      <xdr:row>84</xdr:row>
      <xdr:rowOff>0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219200" y="5715000"/>
          <a:ext cx="18297525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0</xdr:colOff>
      <xdr:row>0</xdr:row>
      <xdr:rowOff>0</xdr:rowOff>
    </xdr:from>
    <xdr:to>
      <xdr:col>46</xdr:col>
      <xdr:colOff>605117</xdr:colOff>
      <xdr:row>54</xdr:row>
      <xdr:rowOff>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363200" y="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0</xdr:colOff>
      <xdr:row>0</xdr:row>
      <xdr:rowOff>0</xdr:rowOff>
    </xdr:from>
    <xdr:to>
      <xdr:col>46</xdr:col>
      <xdr:colOff>605116</xdr:colOff>
      <xdr:row>54</xdr:row>
      <xdr:rowOff>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830050" y="0"/>
          <a:ext cx="18283517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609599</xdr:colOff>
      <xdr:row>8</xdr:row>
      <xdr:rowOff>19048</xdr:rowOff>
    </xdr:from>
    <xdr:to>
      <xdr:col>10</xdr:col>
      <xdr:colOff>400050</xdr:colOff>
      <xdr:row>25</xdr:row>
      <xdr:rowOff>152399</xdr:rowOff>
    </xdr:to>
    <xdr:graphicFrame macro="">
      <xdr:nvGraphicFramePr>
        <xdr:cNvPr id="14" name="Диаграмма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12</xdr:col>
      <xdr:colOff>266700</xdr:colOff>
      <xdr:row>1</xdr:row>
      <xdr:rowOff>161925</xdr:rowOff>
    </xdr:from>
    <xdr:to>
      <xdr:col>22</xdr:col>
      <xdr:colOff>152400</xdr:colOff>
      <xdr:row>29</xdr:row>
      <xdr:rowOff>161925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724775" y="352425"/>
          <a:ext cx="59817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217714</xdr:colOff>
      <xdr:row>2</xdr:row>
      <xdr:rowOff>0</xdr:rowOff>
    </xdr:from>
    <xdr:to>
      <xdr:col>44</xdr:col>
      <xdr:colOff>571500</xdr:colOff>
      <xdr:row>56</xdr:row>
      <xdr:rowOff>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715500" y="381000"/>
          <a:ext cx="18369643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22</xdr:col>
      <xdr:colOff>0</xdr:colOff>
      <xdr:row>74</xdr:row>
      <xdr:rowOff>0</xdr:rowOff>
    </xdr:from>
    <xdr:to>
      <xdr:col>51</xdr:col>
      <xdr:colOff>352425</xdr:colOff>
      <xdr:row>128</xdr:row>
      <xdr:rowOff>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735050" y="14097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122464</xdr:colOff>
      <xdr:row>15</xdr:row>
      <xdr:rowOff>95250</xdr:rowOff>
    </xdr:from>
    <xdr:to>
      <xdr:col>5</xdr:col>
      <xdr:colOff>95251</xdr:colOff>
      <xdr:row>34</xdr:row>
      <xdr:rowOff>13607</xdr:rowOff>
    </xdr:to>
    <xdr:graphicFrame macro="">
      <xdr:nvGraphicFramePr>
        <xdr:cNvPr id="4" name="Диаграмма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7</xdr:col>
      <xdr:colOff>0</xdr:colOff>
      <xdr:row>4</xdr:row>
      <xdr:rowOff>95250</xdr:rowOff>
    </xdr:from>
    <xdr:to>
      <xdr:col>12</xdr:col>
      <xdr:colOff>352425</xdr:colOff>
      <xdr:row>18</xdr:row>
      <xdr:rowOff>180975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599214" y="857250"/>
          <a:ext cx="3414032" cy="2752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52</xdr:col>
      <xdr:colOff>0</xdr:colOff>
      <xdr:row>6</xdr:row>
      <xdr:rowOff>0</xdr:rowOff>
    </xdr:from>
    <xdr:to>
      <xdr:col>82</xdr:col>
      <xdr:colOff>0</xdr:colOff>
      <xdr:row>60</xdr:row>
      <xdr:rowOff>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32280225" y="1143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0</xdr:colOff>
      <xdr:row>74</xdr:row>
      <xdr:rowOff>0</xdr:rowOff>
    </xdr:from>
    <xdr:to>
      <xdr:col>52</xdr:col>
      <xdr:colOff>0</xdr:colOff>
      <xdr:row>128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735050" y="14097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52</xdr:col>
      <xdr:colOff>0</xdr:colOff>
      <xdr:row>6</xdr:row>
      <xdr:rowOff>0</xdr:rowOff>
    </xdr:from>
    <xdr:to>
      <xdr:col>82</xdr:col>
      <xdr:colOff>0</xdr:colOff>
      <xdr:row>60</xdr:row>
      <xdr:rowOff>0</xdr:rowOff>
    </xdr:to>
    <xdr:pic>
      <xdr:nvPicPr>
        <xdr:cNvPr id="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2280225" y="1143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504824</xdr:colOff>
      <xdr:row>16</xdr:row>
      <xdr:rowOff>59480</xdr:rowOff>
    </xdr:from>
    <xdr:to>
      <xdr:col>6</xdr:col>
      <xdr:colOff>304800</xdr:colOff>
      <xdr:row>36</xdr:row>
      <xdr:rowOff>152399</xdr:rowOff>
    </xdr:to>
    <xdr:graphicFrame macro="">
      <xdr:nvGraphicFramePr>
        <xdr:cNvPr id="7" name="Диаграмма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11</xdr:col>
      <xdr:colOff>219075</xdr:colOff>
      <xdr:row>2</xdr:row>
      <xdr:rowOff>57150</xdr:rowOff>
    </xdr:from>
    <xdr:to>
      <xdr:col>21</xdr:col>
      <xdr:colOff>409575</xdr:colOff>
      <xdr:row>39</xdr:row>
      <xdr:rowOff>19050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810625" y="438150"/>
          <a:ext cx="6286500" cy="7010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44824</xdr:colOff>
      <xdr:row>20</xdr:row>
      <xdr:rowOff>67234</xdr:rowOff>
    </xdr:from>
    <xdr:to>
      <xdr:col>9</xdr:col>
      <xdr:colOff>255911</xdr:colOff>
      <xdr:row>25</xdr:row>
      <xdr:rowOff>190499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4824" y="3877234"/>
          <a:ext cx="6934616" cy="10757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0</xdr:colOff>
      <xdr:row>74</xdr:row>
      <xdr:rowOff>0</xdr:rowOff>
    </xdr:from>
    <xdr:to>
      <xdr:col>52</xdr:col>
      <xdr:colOff>0</xdr:colOff>
      <xdr:row>128</xdr:row>
      <xdr:rowOff>0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5297150" y="14097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52</xdr:col>
      <xdr:colOff>0</xdr:colOff>
      <xdr:row>6</xdr:row>
      <xdr:rowOff>0</xdr:rowOff>
    </xdr:from>
    <xdr:to>
      <xdr:col>82</xdr:col>
      <xdr:colOff>0</xdr:colOff>
      <xdr:row>60</xdr:row>
      <xdr:rowOff>0</xdr:rowOff>
    </xdr:to>
    <xdr:pic>
      <xdr:nvPicPr>
        <xdr:cNvPr id="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3585150" y="1143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419100</xdr:colOff>
      <xdr:row>17</xdr:row>
      <xdr:rowOff>38099</xdr:rowOff>
    </xdr:from>
    <xdr:to>
      <xdr:col>6</xdr:col>
      <xdr:colOff>57150</xdr:colOff>
      <xdr:row>37</xdr:row>
      <xdr:rowOff>123824</xdr:rowOff>
    </xdr:to>
    <xdr:graphicFrame macro="">
      <xdr:nvGraphicFramePr>
        <xdr:cNvPr id="11" name="Диаграмма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28</xdr:row>
      <xdr:rowOff>133350</xdr:rowOff>
    </xdr:from>
    <xdr:to>
      <xdr:col>6</xdr:col>
      <xdr:colOff>495057</xdr:colOff>
      <xdr:row>33</xdr:row>
      <xdr:rowOff>123825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050" y="5467350"/>
          <a:ext cx="7158912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24</xdr:row>
      <xdr:rowOff>0</xdr:rowOff>
    </xdr:from>
    <xdr:to>
      <xdr:col>7</xdr:col>
      <xdr:colOff>285750</xdr:colOff>
      <xdr:row>37</xdr:row>
      <xdr:rowOff>142875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019675"/>
          <a:ext cx="6467475" cy="2619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517072</xdr:colOff>
      <xdr:row>2</xdr:row>
      <xdr:rowOff>40821</xdr:rowOff>
    </xdr:from>
    <xdr:to>
      <xdr:col>12</xdr:col>
      <xdr:colOff>462643</xdr:colOff>
      <xdr:row>10</xdr:row>
      <xdr:rowOff>108857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77778" t="38683" r="7737" b="44121"/>
        <a:stretch>
          <a:fillRect/>
        </a:stretch>
      </xdr:blipFill>
      <xdr:spPr bwMode="auto">
        <a:xfrm>
          <a:off x="7307036" y="421821"/>
          <a:ext cx="2394857" cy="15920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517072</xdr:colOff>
      <xdr:row>2</xdr:row>
      <xdr:rowOff>40821</xdr:rowOff>
    </xdr:from>
    <xdr:to>
      <xdr:col>12</xdr:col>
      <xdr:colOff>462643</xdr:colOff>
      <xdr:row>10</xdr:row>
      <xdr:rowOff>108857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77778" t="38683" r="7737" b="44121"/>
        <a:stretch>
          <a:fillRect/>
        </a:stretch>
      </xdr:blipFill>
      <xdr:spPr bwMode="auto">
        <a:xfrm>
          <a:off x="7308397" y="421821"/>
          <a:ext cx="2383971" cy="15920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419940</xdr:colOff>
      <xdr:row>1</xdr:row>
      <xdr:rowOff>28575</xdr:rowOff>
    </xdr:from>
    <xdr:to>
      <xdr:col>17</xdr:col>
      <xdr:colOff>506505</xdr:colOff>
      <xdr:row>19</xdr:row>
      <xdr:rowOff>60570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62228" t="31690" r="7554" b="30868"/>
        <a:stretch>
          <a:fillRect/>
        </a:stretch>
      </xdr:blipFill>
      <xdr:spPr bwMode="auto">
        <a:xfrm>
          <a:off x="6439740" y="219075"/>
          <a:ext cx="4965046" cy="34609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</xdr:row>
      <xdr:rowOff>0</xdr:rowOff>
    </xdr:from>
    <xdr:to>
      <xdr:col>39</xdr:col>
      <xdr:colOff>0</xdr:colOff>
      <xdr:row>57</xdr:row>
      <xdr:rowOff>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86400" y="5715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0</xdr:colOff>
      <xdr:row>72</xdr:row>
      <xdr:rowOff>0</xdr:rowOff>
    </xdr:from>
    <xdr:to>
      <xdr:col>47</xdr:col>
      <xdr:colOff>0</xdr:colOff>
      <xdr:row>126</xdr:row>
      <xdr:rowOff>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363200" y="13716000"/>
          <a:ext cx="18288000" cy="1028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419940</xdr:colOff>
      <xdr:row>1</xdr:row>
      <xdr:rowOff>28575</xdr:rowOff>
    </xdr:from>
    <xdr:to>
      <xdr:col>17</xdr:col>
      <xdr:colOff>506505</xdr:colOff>
      <xdr:row>19</xdr:row>
      <xdr:rowOff>60570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62228" t="31690" r="7554" b="30868"/>
        <a:stretch>
          <a:fillRect/>
        </a:stretch>
      </xdr:blipFill>
      <xdr:spPr bwMode="auto">
        <a:xfrm>
          <a:off x="6439740" y="219075"/>
          <a:ext cx="4963365" cy="34609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orig%20&#1052;&#1077;&#1090;&#1086;&#1076;%20&#1069;&#1081;&#1083;&#1077;&#1088;&#1072;%20&#1087;&#1088;&#1080;&#1084;&#1077;&#1088;&#1099;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Метод Эйлера"/>
      <sheetName val="2 пример Барон"/>
      <sheetName val="2 пример+уточнён мет"/>
      <sheetName val="Рунге-Кутты"/>
    </sheetNames>
    <sheetDataSet>
      <sheetData sheetId="0" refreshError="1"/>
      <sheetData sheetId="1" refreshError="1"/>
      <sheetData sheetId="2">
        <row r="1">
          <cell r="C1" t="str">
            <v>yi</v>
          </cell>
          <cell r="D1" t="str">
            <v>yi*</v>
          </cell>
          <cell r="E1" t="str">
            <v>yi **</v>
          </cell>
        </row>
        <row r="2">
          <cell r="B2">
            <v>1</v>
          </cell>
          <cell r="C2">
            <v>0</v>
          </cell>
          <cell r="D2">
            <v>0</v>
          </cell>
          <cell r="E2">
            <v>0</v>
          </cell>
        </row>
        <row r="3">
          <cell r="B3">
            <v>1.1000000000000001</v>
          </cell>
          <cell r="C3">
            <v>0.30000000000000004</v>
          </cell>
          <cell r="D3">
            <v>0.27272727272727293</v>
          </cell>
          <cell r="E3">
            <v>0.27142857142857146</v>
          </cell>
        </row>
        <row r="4">
          <cell r="B4">
            <v>1.2000000000000002</v>
          </cell>
          <cell r="C4">
            <v>0.54545454545454541</v>
          </cell>
          <cell r="D4">
            <v>0.50000000000000044</v>
          </cell>
          <cell r="E4">
            <v>0.4961038961038961</v>
          </cell>
        </row>
        <row r="5">
          <cell r="B5">
            <v>1.3000000000000003</v>
          </cell>
          <cell r="C5">
            <v>0.74999999999999989</v>
          </cell>
          <cell r="D5">
            <v>0.69230769230769296</v>
          </cell>
          <cell r="E5">
            <v>0.68874458874458877</v>
          </cell>
        </row>
        <row r="6">
          <cell r="B6">
            <v>1.4000000000000004</v>
          </cell>
          <cell r="C6">
            <v>0.92307692307692291</v>
          </cell>
          <cell r="D6">
            <v>0.85714285714285765</v>
          </cell>
          <cell r="E6">
            <v>0.85168165168165166</v>
          </cell>
        </row>
        <row r="7">
          <cell r="B7">
            <v>1.5000000000000004</v>
          </cell>
          <cell r="C7">
            <v>1.0714285714285712</v>
          </cell>
          <cell r="D7">
            <v>1.0000000000000007</v>
          </cell>
          <cell r="E7">
            <v>0.99564720993292422</v>
          </cell>
        </row>
        <row r="8">
          <cell r="B8">
            <v>1.6000000000000005</v>
          </cell>
          <cell r="C8">
            <v>1.1999999999999997</v>
          </cell>
          <cell r="D8">
            <v>1.1250000000000007</v>
          </cell>
          <cell r="E8">
            <v>1.1189286903572617</v>
          </cell>
        </row>
        <row r="9">
          <cell r="B9">
            <v>1.7000000000000006</v>
          </cell>
          <cell r="C9">
            <v>1.3124999999999998</v>
          </cell>
          <cell r="D9">
            <v>1.2352941176470595</v>
          </cell>
          <cell r="E9">
            <v>1.2307811236382664</v>
          </cell>
        </row>
        <row r="10">
          <cell r="B10">
            <v>1.8000000000000007</v>
          </cell>
          <cell r="C10">
            <v>1.4117647058823528</v>
          </cell>
          <cell r="D10">
            <v>1.3333333333333339</v>
          </cell>
          <cell r="E10">
            <v>1.3270720875762891</v>
          </cell>
        </row>
        <row r="11">
          <cell r="B11">
            <v>1.9000000000000008</v>
          </cell>
          <cell r="C11">
            <v>1.4999999999999998</v>
          </cell>
          <cell r="D11">
            <v>1.421052631578948</v>
          </cell>
          <cell r="E11">
            <v>1.4166620027964565</v>
          </cell>
        </row>
        <row r="12">
          <cell r="B12">
            <v>2.0000000000000009</v>
          </cell>
          <cell r="C12">
            <v>1.5789473684210524</v>
          </cell>
          <cell r="D12">
            <v>1.5000000000000007</v>
          </cell>
          <cell r="E12">
            <v>1.493739245176662</v>
          </cell>
        </row>
      </sheetData>
      <sheetData sheetId="3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E1:AM37"/>
  <sheetViews>
    <sheetView zoomScale="115" zoomScaleNormal="115" workbookViewId="0">
      <selection activeCell="D19" sqref="D19"/>
    </sheetView>
  </sheetViews>
  <sheetFormatPr defaultRowHeight="15"/>
  <cols>
    <col min="1" max="1" width="8.7109375" customWidth="1"/>
    <col min="2" max="2" width="5.7109375" customWidth="1"/>
    <col min="3" max="5" width="8.7109375" customWidth="1"/>
    <col min="6" max="6" width="21" customWidth="1"/>
    <col min="7" max="1025" width="8.7109375" customWidth="1"/>
  </cols>
  <sheetData>
    <row r="1" spans="5:39">
      <c r="E1" s="1" t="s">
        <v>0</v>
      </c>
      <c r="F1" s="1" t="s">
        <v>1</v>
      </c>
    </row>
    <row r="2" spans="5:39">
      <c r="E2" s="2">
        <v>-4</v>
      </c>
      <c r="F2" s="20">
        <f>3*E2+COS(E2)+1</f>
        <v>-11.653643620863612</v>
      </c>
    </row>
    <row r="3" spans="5:39">
      <c r="E3" s="2">
        <v>-3</v>
      </c>
      <c r="F3" s="20">
        <f t="shared" ref="F3:F10" si="0">3*E3+COS(E3)+1</f>
        <v>-8.9899924966004452</v>
      </c>
    </row>
    <row r="4" spans="5:39">
      <c r="E4" s="2">
        <v>-2</v>
      </c>
      <c r="F4" s="20">
        <f t="shared" si="0"/>
        <v>-5.4161468365471421</v>
      </c>
    </row>
    <row r="5" spans="5:39">
      <c r="E5" s="38">
        <v>-1</v>
      </c>
      <c r="F5" s="20">
        <f t="shared" si="0"/>
        <v>-1.4596976941318602</v>
      </c>
    </row>
    <row r="6" spans="5:39">
      <c r="E6" s="38">
        <v>0</v>
      </c>
      <c r="F6" s="20">
        <f t="shared" si="0"/>
        <v>2</v>
      </c>
      <c r="AL6" s="24" t="s">
        <v>0</v>
      </c>
      <c r="AM6" s="24" t="s">
        <v>1</v>
      </c>
    </row>
    <row r="7" spans="5:39">
      <c r="E7" s="2">
        <v>1</v>
      </c>
      <c r="F7" s="20">
        <f t="shared" si="0"/>
        <v>4.5403023058681402</v>
      </c>
      <c r="AL7" s="14">
        <v>-3</v>
      </c>
      <c r="AM7" s="14">
        <f>(AL7^3)-(3*(AL7^2))-(24*AL7)-3</f>
        <v>15</v>
      </c>
    </row>
    <row r="8" spans="5:39">
      <c r="E8" s="2">
        <v>2</v>
      </c>
      <c r="F8" s="20">
        <f t="shared" si="0"/>
        <v>6.5838531634528579</v>
      </c>
      <c r="AL8" s="14">
        <v>-2</v>
      </c>
      <c r="AM8" s="14">
        <f t="shared" ref="AM8:AM15" si="1">(AL8^3)-(3*(AL8^2))-(24*AL8)-3</f>
        <v>25</v>
      </c>
    </row>
    <row r="9" spans="5:39">
      <c r="E9" s="40">
        <v>3</v>
      </c>
      <c r="F9" s="20">
        <f t="shared" si="0"/>
        <v>9.0100075033995548</v>
      </c>
      <c r="AL9" s="25">
        <v>-1</v>
      </c>
      <c r="AM9" s="14">
        <f t="shared" si="1"/>
        <v>17</v>
      </c>
    </row>
    <row r="10" spans="5:39">
      <c r="E10" s="40">
        <v>4</v>
      </c>
      <c r="F10" s="20">
        <f t="shared" si="0"/>
        <v>12.346356379136388</v>
      </c>
      <c r="AL10" s="25">
        <v>0</v>
      </c>
      <c r="AM10" s="14">
        <f t="shared" si="1"/>
        <v>-3</v>
      </c>
    </row>
    <row r="11" spans="5:39">
      <c r="AL11" s="14">
        <v>1</v>
      </c>
      <c r="AM11" s="14">
        <f t="shared" si="1"/>
        <v>-29</v>
      </c>
    </row>
    <row r="12" spans="5:39">
      <c r="AL12" s="14">
        <v>2</v>
      </c>
      <c r="AM12" s="14">
        <f t="shared" si="1"/>
        <v>-55</v>
      </c>
    </row>
    <row r="13" spans="5:39">
      <c r="AL13" s="14">
        <v>3</v>
      </c>
      <c r="AM13" s="14">
        <f t="shared" si="1"/>
        <v>-75</v>
      </c>
    </row>
    <row r="14" spans="5:39">
      <c r="AL14" s="14">
        <v>4</v>
      </c>
      <c r="AM14" s="14">
        <f t="shared" si="1"/>
        <v>-83</v>
      </c>
    </row>
    <row r="15" spans="5:39">
      <c r="AL15" s="14">
        <v>5</v>
      </c>
      <c r="AM15" s="14">
        <f t="shared" si="1"/>
        <v>-73</v>
      </c>
    </row>
    <row r="16" spans="5:39">
      <c r="AL16" s="14"/>
      <c r="AM16" s="14"/>
    </row>
    <row r="17" spans="38:39">
      <c r="AL17" s="14"/>
      <c r="AM17" s="14"/>
    </row>
    <row r="18" spans="38:39">
      <c r="AL18" s="14"/>
      <c r="AM18" s="14"/>
    </row>
    <row r="19" spans="38:39">
      <c r="AL19" s="14"/>
      <c r="AM19" s="14"/>
    </row>
    <row r="20" spans="38:39">
      <c r="AL20" s="14"/>
      <c r="AM20" s="14"/>
    </row>
    <row r="21" spans="38:39">
      <c r="AL21" s="14"/>
      <c r="AM21" s="14"/>
    </row>
    <row r="22" spans="38:39">
      <c r="AL22" s="14"/>
      <c r="AM22" s="14"/>
    </row>
    <row r="23" spans="38:39">
      <c r="AL23" s="14"/>
      <c r="AM23" s="14"/>
    </row>
    <row r="24" spans="38:39">
      <c r="AL24" s="14"/>
      <c r="AM24" s="14"/>
    </row>
    <row r="25" spans="38:39">
      <c r="AL25" s="14"/>
      <c r="AM25" s="14"/>
    </row>
    <row r="26" spans="38:39">
      <c r="AL26" s="14"/>
      <c r="AM26" s="14"/>
    </row>
    <row r="27" spans="38:39">
      <c r="AL27" s="14"/>
      <c r="AM27" s="14"/>
    </row>
    <row r="28" spans="38:39">
      <c r="AL28" s="14"/>
      <c r="AM28" s="14"/>
    </row>
    <row r="29" spans="38:39">
      <c r="AL29" s="14"/>
      <c r="AM29" s="14"/>
    </row>
    <row r="30" spans="38:39">
      <c r="AL30" s="14"/>
      <c r="AM30" s="14"/>
    </row>
    <row r="31" spans="38:39">
      <c r="AL31" s="14"/>
      <c r="AM31" s="14"/>
    </row>
    <row r="32" spans="38:39">
      <c r="AL32" s="14"/>
      <c r="AM32" s="14"/>
    </row>
    <row r="33" spans="38:39">
      <c r="AL33" s="14"/>
      <c r="AM33" s="14"/>
    </row>
    <row r="34" spans="38:39">
      <c r="AL34" s="14"/>
      <c r="AM34" s="14"/>
    </row>
    <row r="35" spans="38:39">
      <c r="AL35" s="14"/>
      <c r="AM35" s="14"/>
    </row>
    <row r="36" spans="38:39">
      <c r="AL36" s="26"/>
      <c r="AM36" s="26"/>
    </row>
    <row r="37" spans="38:39">
      <c r="AL37" s="26"/>
      <c r="AM37" s="26"/>
    </row>
  </sheetData>
  <pageMargins left="0.7" right="0.7" top="0.75" bottom="0.75" header="0.51180555555555496" footer="0.51180555555555496"/>
  <pageSetup paperSize="9" firstPageNumber="0" orientation="portrait" horizontalDpi="300" verticalDpi="300"/>
</worksheet>
</file>

<file path=xl/worksheets/sheet10.xml><?xml version="1.0" encoding="utf-8"?>
<worksheet xmlns="http://schemas.openxmlformats.org/spreadsheetml/2006/main" xmlns:r="http://schemas.openxmlformats.org/officeDocument/2006/relationships">
  <dimension ref="A1:H33"/>
  <sheetViews>
    <sheetView zoomScale="115" zoomScaleNormal="115" workbookViewId="0">
      <selection activeCell="E5" sqref="E5"/>
    </sheetView>
  </sheetViews>
  <sheetFormatPr defaultRowHeight="15"/>
  <cols>
    <col min="1" max="1" width="9.5703125" style="58" bestFit="1" customWidth="1"/>
    <col min="2" max="2" width="10.28515625" style="58" bestFit="1" customWidth="1"/>
    <col min="3" max="3" width="9.5703125" style="58" bestFit="1" customWidth="1"/>
    <col min="7" max="7" width="19.85546875" customWidth="1"/>
    <col min="8" max="8" width="25.140625" style="58" customWidth="1"/>
  </cols>
  <sheetData>
    <row r="1" spans="1:8">
      <c r="A1" s="127"/>
      <c r="B1" s="127"/>
      <c r="C1" s="127"/>
    </row>
    <row r="2" spans="1:8">
      <c r="A2" s="126" t="s">
        <v>50</v>
      </c>
      <c r="B2" s="126"/>
      <c r="C2" s="126"/>
      <c r="D2" s="59" t="s">
        <v>54</v>
      </c>
    </row>
    <row r="3" spans="1:8">
      <c r="A3" s="60">
        <v>7</v>
      </c>
      <c r="B3" s="60">
        <v>4</v>
      </c>
      <c r="C3" s="60">
        <v>-1</v>
      </c>
      <c r="D3" s="59">
        <v>7</v>
      </c>
    </row>
    <row r="4" spans="1:8">
      <c r="A4" s="60">
        <v>2</v>
      </c>
      <c r="B4" s="60">
        <v>6</v>
      </c>
      <c r="C4" s="60">
        <v>3</v>
      </c>
      <c r="D4" s="59">
        <v>-2</v>
      </c>
    </row>
    <row r="5" spans="1:8">
      <c r="A5" s="60">
        <v>-1</v>
      </c>
      <c r="B5" s="60">
        <v>1</v>
      </c>
      <c r="C5" s="60">
        <v>4</v>
      </c>
      <c r="D5" s="59">
        <v>4</v>
      </c>
    </row>
    <row r="6" spans="1:8">
      <c r="F6" t="s">
        <v>60</v>
      </c>
    </row>
    <row r="7" spans="1:8">
      <c r="A7" s="44" t="s">
        <v>45</v>
      </c>
      <c r="B7" s="44" t="s">
        <v>46</v>
      </c>
      <c r="C7" s="44" t="s">
        <v>47</v>
      </c>
      <c r="F7" s="62" t="s">
        <v>15</v>
      </c>
      <c r="G7" s="62">
        <v>0.01</v>
      </c>
      <c r="H7" s="44" t="s">
        <v>59</v>
      </c>
    </row>
    <row r="8" spans="1:8">
      <c r="A8" s="56">
        <v>0</v>
      </c>
      <c r="B8" s="56">
        <v>0</v>
      </c>
      <c r="C8" s="56">
        <v>0</v>
      </c>
      <c r="D8" s="44" t="s">
        <v>56</v>
      </c>
      <c r="E8" s="44" t="s">
        <v>57</v>
      </c>
      <c r="F8" s="44" t="s">
        <v>58</v>
      </c>
      <c r="G8" s="56"/>
      <c r="H8" s="56">
        <v>0</v>
      </c>
    </row>
    <row r="9" spans="1:8">
      <c r="A9" s="48">
        <f>($D$3-$B$3*B8-$C$3*C8)/$A$3</f>
        <v>1</v>
      </c>
      <c r="B9" s="48">
        <f>($D$4-$A$4*A9-$C$4*C8)/$B$4</f>
        <v>-0.66666666666666663</v>
      </c>
      <c r="C9" s="48">
        <f>($D$5-$A$5*A9-$B$5*B9)/$C$5</f>
        <v>1.4166666666666667</v>
      </c>
      <c r="D9" s="48">
        <f>ABS(A9-A8)</f>
        <v>1</v>
      </c>
      <c r="E9" s="48">
        <f t="shared" ref="E9:F24" si="0">ABS(B9-B8)</f>
        <v>0.66666666666666663</v>
      </c>
      <c r="F9" s="48">
        <f t="shared" si="0"/>
        <v>1.4166666666666667</v>
      </c>
      <c r="G9" s="56" t="str">
        <f>IF(AND(D9&lt;$G$7,E9&lt;$G$7,F9&lt;$G$7),"выполнено","--")</f>
        <v>--</v>
      </c>
      <c r="H9" s="56">
        <v>1</v>
      </c>
    </row>
    <row r="10" spans="1:8">
      <c r="A10" s="48">
        <f t="shared" ref="A10:A33" si="1">($D$3-$B$3*B9-$C$3*C9)/$A$3</f>
        <v>1.5833333333333333</v>
      </c>
      <c r="B10" s="48">
        <f t="shared" ref="B10:B33" si="2">($D$4-$A$4*A10-$C$4*C9)/$B$4</f>
        <v>-1.5694444444444444</v>
      </c>
      <c r="C10" s="48">
        <f t="shared" ref="C10:C33" si="3">($D$5-$A$5*A10-$B$5*B10)/$C$5</f>
        <v>1.7881944444444444</v>
      </c>
      <c r="D10" s="48">
        <f t="shared" ref="D10:F33" si="4">ABS(A10-A9)</f>
        <v>0.58333333333333326</v>
      </c>
      <c r="E10" s="48">
        <f t="shared" si="0"/>
        <v>0.90277777777777779</v>
      </c>
      <c r="F10" s="48">
        <f t="shared" si="0"/>
        <v>0.37152777777777768</v>
      </c>
      <c r="G10" s="56" t="str">
        <f t="shared" ref="G10:G33" si="5">IF(AND(D10&lt;$G$7,E10&lt;$G$7,F10&lt;$G$7),"выполнено","--")</f>
        <v>--</v>
      </c>
      <c r="H10" s="56">
        <v>2</v>
      </c>
    </row>
    <row r="11" spans="1:8">
      <c r="A11" s="48">
        <f t="shared" si="1"/>
        <v>2.152281746031746</v>
      </c>
      <c r="B11" s="48">
        <f t="shared" si="2"/>
        <v>-1.9448578042328044</v>
      </c>
      <c r="C11" s="48">
        <f t="shared" si="3"/>
        <v>2.0242848875661377</v>
      </c>
      <c r="D11" s="48">
        <f t="shared" si="4"/>
        <v>0.56894841269841279</v>
      </c>
      <c r="E11" s="48">
        <f t="shared" si="0"/>
        <v>0.37541335978835999</v>
      </c>
      <c r="F11" s="48">
        <f t="shared" si="0"/>
        <v>0.23609044312169325</v>
      </c>
      <c r="G11" s="56" t="str">
        <f t="shared" si="5"/>
        <v>--</v>
      </c>
      <c r="H11" s="56">
        <v>3</v>
      </c>
    </row>
    <row r="12" spans="1:8">
      <c r="A12" s="48">
        <f t="shared" si="1"/>
        <v>2.4005308720710508</v>
      </c>
      <c r="B12" s="48">
        <f t="shared" si="2"/>
        <v>-2.1456527344734191</v>
      </c>
      <c r="C12" s="48">
        <f t="shared" si="3"/>
        <v>2.1365459016361177</v>
      </c>
      <c r="D12" s="48">
        <f t="shared" si="4"/>
        <v>0.24824912603930471</v>
      </c>
      <c r="E12" s="48">
        <f t="shared" si="0"/>
        <v>0.20079493024061468</v>
      </c>
      <c r="F12" s="48">
        <f t="shared" si="0"/>
        <v>0.11226101406998001</v>
      </c>
      <c r="G12" s="56" t="str">
        <f t="shared" si="5"/>
        <v>--</v>
      </c>
      <c r="H12" s="56">
        <v>4</v>
      </c>
    </row>
    <row r="13" spans="1:8">
      <c r="A13" s="48">
        <f t="shared" si="1"/>
        <v>2.5313081199328278</v>
      </c>
      <c r="B13" s="48">
        <f t="shared" si="2"/>
        <v>-2.2453756574623349</v>
      </c>
      <c r="C13" s="48">
        <f t="shared" si="3"/>
        <v>2.1941709443487905</v>
      </c>
      <c r="D13" s="48">
        <f t="shared" si="4"/>
        <v>0.13077724786177702</v>
      </c>
      <c r="E13" s="48">
        <f t="shared" si="0"/>
        <v>9.972292298891583E-2</v>
      </c>
      <c r="F13" s="48">
        <f t="shared" si="0"/>
        <v>5.7625042712672769E-2</v>
      </c>
      <c r="G13" s="56" t="str">
        <f t="shared" si="5"/>
        <v>--</v>
      </c>
      <c r="H13" s="56">
        <v>5</v>
      </c>
    </row>
    <row r="14" spans="1:8">
      <c r="A14" s="48">
        <f t="shared" si="1"/>
        <v>2.5965247963140183</v>
      </c>
      <c r="B14" s="48">
        <f t="shared" si="2"/>
        <v>-2.2959270709457349</v>
      </c>
      <c r="C14" s="48">
        <f t="shared" si="3"/>
        <v>2.2231129668149383</v>
      </c>
      <c r="D14" s="48">
        <f t="shared" si="4"/>
        <v>6.5216676381190553E-2</v>
      </c>
      <c r="E14" s="48">
        <f t="shared" si="0"/>
        <v>5.0551413483399976E-2</v>
      </c>
      <c r="F14" s="48">
        <f t="shared" si="0"/>
        <v>2.8942022466147854E-2</v>
      </c>
      <c r="G14" s="56" t="str">
        <f t="shared" si="5"/>
        <v>--</v>
      </c>
      <c r="H14" s="56">
        <v>6</v>
      </c>
    </row>
    <row r="15" spans="1:8">
      <c r="A15" s="48">
        <f t="shared" si="1"/>
        <v>2.6295458929425544</v>
      </c>
      <c r="B15" s="48">
        <f t="shared" si="2"/>
        <v>-2.321405114388321</v>
      </c>
      <c r="C15" s="48">
        <f t="shared" si="3"/>
        <v>2.2377377518327188</v>
      </c>
      <c r="D15" s="48">
        <f t="shared" si="4"/>
        <v>3.3021096628536029E-2</v>
      </c>
      <c r="E15" s="48">
        <f t="shared" si="0"/>
        <v>2.5478043442586085E-2</v>
      </c>
      <c r="F15" s="48">
        <f t="shared" si="0"/>
        <v>1.4624785017780528E-2</v>
      </c>
      <c r="G15" s="56" t="str">
        <f t="shared" si="5"/>
        <v>--</v>
      </c>
      <c r="H15" s="56">
        <v>7</v>
      </c>
    </row>
    <row r="16" spans="1:8">
      <c r="A16" s="48">
        <f t="shared" si="1"/>
        <v>2.6461940299122864</v>
      </c>
      <c r="B16" s="48">
        <f t="shared" si="2"/>
        <v>-2.3342668858871214</v>
      </c>
      <c r="C16" s="48">
        <f t="shared" si="3"/>
        <v>2.2451152289498522</v>
      </c>
      <c r="D16" s="48">
        <f t="shared" si="4"/>
        <v>1.6648136969731997E-2</v>
      </c>
      <c r="E16" s="48">
        <f t="shared" si="0"/>
        <v>1.2861771498800412E-2</v>
      </c>
      <c r="F16" s="48">
        <f t="shared" si="0"/>
        <v>7.3774771171333242E-3</v>
      </c>
      <c r="G16" s="56" t="str">
        <f t="shared" si="5"/>
        <v>--</v>
      </c>
      <c r="H16" s="56">
        <v>8</v>
      </c>
    </row>
    <row r="17" spans="1:8">
      <c r="A17" s="63">
        <f t="shared" si="1"/>
        <v>2.6545975389283343</v>
      </c>
      <c r="B17" s="63">
        <f t="shared" si="2"/>
        <v>-2.3407567941177043</v>
      </c>
      <c r="C17" s="63">
        <f t="shared" si="3"/>
        <v>2.2488385832615094</v>
      </c>
      <c r="D17" s="48">
        <f t="shared" si="4"/>
        <v>8.4035090160479164E-3</v>
      </c>
      <c r="E17" s="48">
        <f t="shared" si="0"/>
        <v>6.4899082305829303E-3</v>
      </c>
      <c r="F17" s="48">
        <f t="shared" si="0"/>
        <v>3.7233543116572676E-3</v>
      </c>
      <c r="G17" s="56" t="str">
        <f t="shared" si="5"/>
        <v>выполнено</v>
      </c>
      <c r="H17" s="56">
        <v>9</v>
      </c>
    </row>
    <row r="18" spans="1:8">
      <c r="A18" s="48">
        <f t="shared" si="1"/>
        <v>2.6588379656760464</v>
      </c>
      <c r="B18" s="48">
        <f t="shared" si="2"/>
        <v>-2.3440319468561035</v>
      </c>
      <c r="C18" s="48">
        <f t="shared" si="3"/>
        <v>2.2507174781330375</v>
      </c>
      <c r="D18" s="48">
        <f t="shared" si="4"/>
        <v>4.2404267477120783E-3</v>
      </c>
      <c r="E18" s="48">
        <f t="shared" si="0"/>
        <v>3.2751527383991785E-3</v>
      </c>
      <c r="F18" s="48">
        <f t="shared" si="0"/>
        <v>1.8788948715280362E-3</v>
      </c>
      <c r="G18" s="56" t="str">
        <f t="shared" si="5"/>
        <v>выполнено</v>
      </c>
      <c r="H18" s="56">
        <v>10</v>
      </c>
    </row>
    <row r="19" spans="1:8">
      <c r="A19" s="48">
        <f t="shared" si="1"/>
        <v>2.6609778950796361</v>
      </c>
      <c r="B19" s="48">
        <f t="shared" si="2"/>
        <v>-2.3456847040930642</v>
      </c>
      <c r="C19" s="48">
        <f t="shared" si="3"/>
        <v>2.2516656497931749</v>
      </c>
      <c r="D19" s="48">
        <f t="shared" si="4"/>
        <v>2.1399294035897576E-3</v>
      </c>
      <c r="E19" s="48">
        <f t="shared" si="0"/>
        <v>1.652757236960678E-3</v>
      </c>
      <c r="F19" s="48">
        <f t="shared" si="0"/>
        <v>9.4817166013738685E-4</v>
      </c>
      <c r="G19" s="56" t="str">
        <f t="shared" si="5"/>
        <v>выполнено</v>
      </c>
      <c r="H19" s="56">
        <v>11</v>
      </c>
    </row>
    <row r="20" spans="1:8">
      <c r="A20" s="48">
        <f t="shared" si="1"/>
        <v>2.6620577808807759</v>
      </c>
      <c r="B20" s="48">
        <f t="shared" si="2"/>
        <v>-2.3465187518568462</v>
      </c>
      <c r="C20" s="48">
        <f t="shared" si="3"/>
        <v>2.2521441331844056</v>
      </c>
      <c r="D20" s="48">
        <f t="shared" si="4"/>
        <v>1.0798858011398238E-3</v>
      </c>
      <c r="E20" s="48">
        <f t="shared" si="0"/>
        <v>8.3404776378204204E-4</v>
      </c>
      <c r="F20" s="48">
        <f t="shared" si="0"/>
        <v>4.7848339123079953E-4</v>
      </c>
      <c r="G20" s="56" t="str">
        <f t="shared" si="5"/>
        <v>выполнено</v>
      </c>
      <c r="H20" s="56">
        <v>12</v>
      </c>
    </row>
    <row r="21" spans="1:8">
      <c r="A21" s="48">
        <f t="shared" si="1"/>
        <v>2.6626027343731131</v>
      </c>
      <c r="B21" s="48">
        <f t="shared" si="2"/>
        <v>-2.3469396447165738</v>
      </c>
      <c r="C21" s="48">
        <f t="shared" si="3"/>
        <v>2.2523855947724218</v>
      </c>
      <c r="D21" s="48">
        <f t="shared" si="4"/>
        <v>5.4495349233718571E-4</v>
      </c>
      <c r="E21" s="48">
        <f t="shared" si="0"/>
        <v>4.2089285972757295E-4</v>
      </c>
      <c r="F21" s="48">
        <f t="shared" si="0"/>
        <v>2.4146158801618967E-4</v>
      </c>
      <c r="G21" s="56" t="str">
        <f t="shared" si="5"/>
        <v>выполнено</v>
      </c>
      <c r="H21" s="56">
        <v>13</v>
      </c>
    </row>
    <row r="22" spans="1:8">
      <c r="A22" s="48">
        <f t="shared" si="1"/>
        <v>2.6628777390912455</v>
      </c>
      <c r="B22" s="48">
        <f t="shared" si="2"/>
        <v>-2.3471520437499596</v>
      </c>
      <c r="C22" s="48">
        <f t="shared" si="3"/>
        <v>2.2525074457103011</v>
      </c>
      <c r="D22" s="48">
        <f t="shared" si="4"/>
        <v>2.750047181323545E-4</v>
      </c>
      <c r="E22" s="48">
        <f t="shared" si="0"/>
        <v>2.1239903338576838E-4</v>
      </c>
      <c r="F22" s="48">
        <f t="shared" si="0"/>
        <v>1.2185093787930867E-4</v>
      </c>
      <c r="G22" s="56" t="str">
        <f t="shared" si="5"/>
        <v>выполнено</v>
      </c>
      <c r="H22" s="56">
        <v>14</v>
      </c>
    </row>
    <row r="23" spans="1:8">
      <c r="A23" s="48">
        <f t="shared" si="1"/>
        <v>2.6630165172443054</v>
      </c>
      <c r="B23" s="48">
        <f t="shared" si="2"/>
        <v>-2.3472592286032525</v>
      </c>
      <c r="C23" s="48">
        <f t="shared" si="3"/>
        <v>2.2525689364618895</v>
      </c>
      <c r="D23" s="48">
        <f t="shared" si="4"/>
        <v>1.3877815305995966E-4</v>
      </c>
      <c r="E23" s="48">
        <f t="shared" si="0"/>
        <v>1.0718485329297422E-4</v>
      </c>
      <c r="F23" s="48">
        <f t="shared" si="0"/>
        <v>6.1490751588344494E-5</v>
      </c>
      <c r="G23" s="56" t="str">
        <f t="shared" si="5"/>
        <v>выполнено</v>
      </c>
      <c r="H23" s="56">
        <v>15</v>
      </c>
    </row>
    <row r="24" spans="1:8">
      <c r="A24" s="48">
        <f t="shared" si="1"/>
        <v>2.6630865501249863</v>
      </c>
      <c r="B24" s="48">
        <f t="shared" si="2"/>
        <v>-2.3473133182726067</v>
      </c>
      <c r="C24" s="48">
        <f t="shared" si="3"/>
        <v>2.2525999670993984</v>
      </c>
      <c r="D24" s="48">
        <f t="shared" si="4"/>
        <v>7.0032880680859222E-5</v>
      </c>
      <c r="E24" s="48">
        <f t="shared" si="0"/>
        <v>5.4089669354162595E-5</v>
      </c>
      <c r="F24" s="48">
        <f t="shared" si="0"/>
        <v>3.1030637508866477E-5</v>
      </c>
      <c r="G24" s="56" t="str">
        <f t="shared" si="5"/>
        <v>выполнено</v>
      </c>
      <c r="H24" s="56">
        <v>16</v>
      </c>
    </row>
    <row r="25" spans="1:8">
      <c r="A25" s="48">
        <f t="shared" si="1"/>
        <v>2.6631218914556891</v>
      </c>
      <c r="B25" s="48">
        <f t="shared" si="2"/>
        <v>-2.3473406140349291</v>
      </c>
      <c r="C25" s="48">
        <f t="shared" si="3"/>
        <v>2.2526156263726547</v>
      </c>
      <c r="D25" s="48">
        <f t="shared" si="4"/>
        <v>3.5341330702820528E-5</v>
      </c>
      <c r="E25" s="48">
        <f t="shared" si="4"/>
        <v>2.7295762322410155E-5</v>
      </c>
      <c r="F25" s="48">
        <f t="shared" si="4"/>
        <v>1.5659273256307671E-5</v>
      </c>
      <c r="G25" s="56" t="str">
        <f t="shared" si="5"/>
        <v>выполнено</v>
      </c>
      <c r="H25" s="56">
        <v>17</v>
      </c>
    </row>
    <row r="26" spans="1:8">
      <c r="A26" s="48">
        <f t="shared" si="1"/>
        <v>2.6631397260731959</v>
      </c>
      <c r="B26" s="48">
        <f t="shared" si="2"/>
        <v>-2.3473543885440593</v>
      </c>
      <c r="C26" s="48">
        <f t="shared" si="3"/>
        <v>2.2526235286543139</v>
      </c>
      <c r="D26" s="48">
        <f t="shared" si="4"/>
        <v>1.7834617506817807E-5</v>
      </c>
      <c r="E26" s="48">
        <f t="shared" si="4"/>
        <v>1.3774509130204393E-5</v>
      </c>
      <c r="F26" s="48">
        <f t="shared" si="4"/>
        <v>7.90228165925555E-6</v>
      </c>
      <c r="G26" s="56" t="str">
        <f t="shared" si="5"/>
        <v>выполнено</v>
      </c>
      <c r="H26" s="56">
        <v>18</v>
      </c>
    </row>
    <row r="27" spans="1:8">
      <c r="A27" s="48">
        <f t="shared" si="1"/>
        <v>2.6631487261186502</v>
      </c>
      <c r="B27" s="48">
        <f t="shared" si="2"/>
        <v>-2.3473613397000404</v>
      </c>
      <c r="C27" s="48">
        <f t="shared" si="3"/>
        <v>2.2526275164546727</v>
      </c>
      <c r="D27" s="48">
        <f t="shared" si="4"/>
        <v>9.0000454542327191E-6</v>
      </c>
      <c r="E27" s="48">
        <f t="shared" si="4"/>
        <v>6.9511559810386814E-6</v>
      </c>
      <c r="F27" s="48">
        <f t="shared" si="4"/>
        <v>3.9878003588178501E-6</v>
      </c>
      <c r="G27" s="56" t="str">
        <f t="shared" si="5"/>
        <v>выполнено</v>
      </c>
      <c r="H27" s="56">
        <v>19</v>
      </c>
    </row>
    <row r="28" spans="1:8">
      <c r="A28" s="48">
        <f t="shared" si="1"/>
        <v>2.6631532678935477</v>
      </c>
      <c r="B28" s="48">
        <f t="shared" si="2"/>
        <v>-2.3473648475251854</v>
      </c>
      <c r="C28" s="48">
        <f t="shared" si="3"/>
        <v>2.2526295288546834</v>
      </c>
      <c r="D28" s="48">
        <f t="shared" si="4"/>
        <v>4.5417748975040695E-6</v>
      </c>
      <c r="E28" s="48">
        <f t="shared" si="4"/>
        <v>3.5078251450215703E-6</v>
      </c>
      <c r="F28" s="48">
        <f t="shared" si="4"/>
        <v>2.0124000106314099E-6</v>
      </c>
      <c r="G28" s="56" t="str">
        <f t="shared" si="5"/>
        <v>выполнено</v>
      </c>
      <c r="H28" s="56">
        <v>20</v>
      </c>
    </row>
    <row r="29" spans="1:8">
      <c r="A29" s="48">
        <f t="shared" si="1"/>
        <v>2.6631555598507748</v>
      </c>
      <c r="B29" s="48">
        <f t="shared" si="2"/>
        <v>-2.3473666177109336</v>
      </c>
      <c r="C29" s="48">
        <f t="shared" si="3"/>
        <v>2.2526305443904273</v>
      </c>
      <c r="D29" s="48">
        <f t="shared" si="4"/>
        <v>2.2919572271185018E-6</v>
      </c>
      <c r="E29" s="48">
        <f t="shared" si="4"/>
        <v>1.770185748206643E-6</v>
      </c>
      <c r="F29" s="48">
        <f t="shared" si="4"/>
        <v>1.0155357439423085E-6</v>
      </c>
      <c r="G29" s="56" t="str">
        <f t="shared" si="5"/>
        <v>выполнено</v>
      </c>
      <c r="H29" s="56">
        <v>21</v>
      </c>
    </row>
    <row r="30" spans="1:8">
      <c r="A30" s="48">
        <f t="shared" si="1"/>
        <v>2.6631567164620233</v>
      </c>
      <c r="B30" s="48">
        <f t="shared" si="2"/>
        <v>-2.347367511015888</v>
      </c>
      <c r="C30" s="48">
        <f t="shared" si="3"/>
        <v>2.2526310568694776</v>
      </c>
      <c r="D30" s="48">
        <f t="shared" si="4"/>
        <v>1.1566112485539293E-6</v>
      </c>
      <c r="E30" s="48">
        <f t="shared" si="4"/>
        <v>8.9330495445238967E-7</v>
      </c>
      <c r="F30" s="48">
        <f t="shared" si="4"/>
        <v>5.1247905030749052E-7</v>
      </c>
      <c r="G30" s="56" t="str">
        <f t="shared" si="5"/>
        <v>выполнено</v>
      </c>
      <c r="H30" s="56">
        <v>22</v>
      </c>
    </row>
    <row r="31" spans="1:8">
      <c r="A31" s="48">
        <f t="shared" si="1"/>
        <v>2.6631573001332898</v>
      </c>
      <c r="B31" s="48">
        <f t="shared" si="2"/>
        <v>-2.3473679618125023</v>
      </c>
      <c r="C31" s="48">
        <f t="shared" si="3"/>
        <v>2.2526313154864481</v>
      </c>
      <c r="D31" s="48">
        <f t="shared" si="4"/>
        <v>5.8367126642977496E-7</v>
      </c>
      <c r="E31" s="48">
        <f t="shared" si="4"/>
        <v>4.5079661425972972E-7</v>
      </c>
      <c r="F31" s="48">
        <f t="shared" si="4"/>
        <v>2.5861697050544308E-7</v>
      </c>
      <c r="G31" s="56" t="str">
        <f t="shared" si="5"/>
        <v>выполнено</v>
      </c>
      <c r="H31" s="56">
        <v>23</v>
      </c>
    </row>
    <row r="32" spans="1:8">
      <c r="A32" s="48">
        <f t="shared" si="1"/>
        <v>2.6631575946766364</v>
      </c>
      <c r="B32" s="48">
        <f t="shared" si="2"/>
        <v>-2.3473681893021028</v>
      </c>
      <c r="C32" s="48">
        <f t="shared" si="3"/>
        <v>2.2526314459946848</v>
      </c>
      <c r="D32" s="48">
        <f t="shared" si="4"/>
        <v>2.9454334660172776E-7</v>
      </c>
      <c r="E32" s="48">
        <f t="shared" si="4"/>
        <v>2.2748960049057132E-7</v>
      </c>
      <c r="F32" s="48">
        <f t="shared" si="4"/>
        <v>1.3050823666205247E-7</v>
      </c>
      <c r="G32" s="56" t="str">
        <f t="shared" si="5"/>
        <v>выполнено</v>
      </c>
      <c r="H32" s="56">
        <v>24</v>
      </c>
    </row>
    <row r="33" spans="1:8">
      <c r="A33" s="48">
        <f t="shared" si="1"/>
        <v>2.6631577433147275</v>
      </c>
      <c r="B33" s="48">
        <f t="shared" si="2"/>
        <v>-2.3473683041022517</v>
      </c>
      <c r="C33" s="48">
        <f t="shared" si="3"/>
        <v>2.2526315118542448</v>
      </c>
      <c r="D33" s="48">
        <f t="shared" si="4"/>
        <v>1.4863809116860693E-7</v>
      </c>
      <c r="E33" s="48">
        <f t="shared" si="4"/>
        <v>1.1480014894260648E-7</v>
      </c>
      <c r="F33" s="48">
        <f t="shared" si="4"/>
        <v>6.5859560027803354E-8</v>
      </c>
      <c r="G33" s="56" t="str">
        <f t="shared" si="5"/>
        <v>выполнено</v>
      </c>
      <c r="H33" s="56">
        <v>25</v>
      </c>
    </row>
  </sheetData>
  <mergeCells count="2">
    <mergeCell ref="A1:C1"/>
    <mergeCell ref="A2:C2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:H50"/>
  <sheetViews>
    <sheetView zoomScale="85" zoomScaleNormal="85" workbookViewId="0">
      <selection activeCell="C9" sqref="C9"/>
    </sheetView>
  </sheetViews>
  <sheetFormatPr defaultRowHeight="15"/>
  <cols>
    <col min="1" max="1" width="9.5703125" style="58" bestFit="1" customWidth="1"/>
    <col min="2" max="2" width="10.28515625" style="58" bestFit="1" customWidth="1"/>
    <col min="3" max="3" width="9.5703125" style="58" bestFit="1" customWidth="1"/>
    <col min="7" max="7" width="19.85546875" customWidth="1"/>
    <col min="8" max="8" width="25.140625" style="58" customWidth="1"/>
  </cols>
  <sheetData>
    <row r="1" spans="1:8">
      <c r="A1" s="127"/>
      <c r="B1" s="127"/>
      <c r="C1" s="127"/>
    </row>
    <row r="2" spans="1:8">
      <c r="A2" s="126" t="s">
        <v>50</v>
      </c>
      <c r="B2" s="126"/>
      <c r="C2" s="126"/>
      <c r="D2" s="59" t="s">
        <v>54</v>
      </c>
    </row>
    <row r="3" spans="1:8">
      <c r="A3" s="60">
        <v>66</v>
      </c>
      <c r="B3" s="60">
        <v>-14</v>
      </c>
      <c r="C3" s="60">
        <v>-22</v>
      </c>
      <c r="D3" s="59">
        <v>25</v>
      </c>
    </row>
    <row r="4" spans="1:8">
      <c r="A4" s="60">
        <v>42</v>
      </c>
      <c r="B4" s="60">
        <v>-87</v>
      </c>
      <c r="C4" s="60">
        <v>26</v>
      </c>
      <c r="D4" s="59">
        <v>82</v>
      </c>
    </row>
    <row r="5" spans="1:8">
      <c r="A5" s="60">
        <v>15</v>
      </c>
      <c r="B5" s="60">
        <v>17</v>
      </c>
      <c r="C5" s="60">
        <v>54</v>
      </c>
      <c r="D5" s="59">
        <v>-31</v>
      </c>
    </row>
    <row r="6" spans="1:8">
      <c r="F6" t="s">
        <v>60</v>
      </c>
    </row>
    <row r="7" spans="1:8">
      <c r="A7" s="44" t="s">
        <v>45</v>
      </c>
      <c r="B7" s="44" t="s">
        <v>46</v>
      </c>
      <c r="C7" s="44" t="s">
        <v>47</v>
      </c>
      <c r="F7" s="62" t="s">
        <v>15</v>
      </c>
      <c r="G7" s="62">
        <v>0.01</v>
      </c>
      <c r="H7" s="44" t="s">
        <v>59</v>
      </c>
    </row>
    <row r="8" spans="1:8">
      <c r="A8" s="57">
        <v>0</v>
      </c>
      <c r="B8" s="57">
        <v>0</v>
      </c>
      <c r="C8" s="57">
        <v>0</v>
      </c>
      <c r="D8" s="44" t="s">
        <v>56</v>
      </c>
      <c r="E8" s="44" t="s">
        <v>57</v>
      </c>
      <c r="F8" s="44" t="s">
        <v>58</v>
      </c>
      <c r="G8" s="57"/>
      <c r="H8" s="57">
        <v>0</v>
      </c>
    </row>
    <row r="9" spans="1:8">
      <c r="A9" s="48">
        <f>($D$3-$B$3*B8-$C$3*C8)/$A$3</f>
        <v>0.37878787878787878</v>
      </c>
      <c r="B9" s="48">
        <f>($D$4-$A$4*A9-$C$4*C8)/$B$4</f>
        <v>-0.75966562173458729</v>
      </c>
      <c r="C9" s="48">
        <f>($D$5-$A$5*A9-$B$5*B9)/$C$5</f>
        <v>-0.44013893726537401</v>
      </c>
      <c r="D9" s="48">
        <f>ABS(A9-A8)</f>
        <v>0.37878787878787878</v>
      </c>
      <c r="E9" s="48">
        <f t="shared" ref="E9:F12" si="0">ABS(B9-B8)</f>
        <v>0.75966562173458729</v>
      </c>
      <c r="F9" s="48">
        <f t="shared" si="0"/>
        <v>0.44013893726537401</v>
      </c>
      <c r="G9" s="57" t="str">
        <f>IF(AND(D9&lt;$G$7,E9&lt;$G$7,F9&lt;$G$7),"выполнено","--")</f>
        <v>--</v>
      </c>
      <c r="H9" s="57">
        <v>1</v>
      </c>
    </row>
    <row r="10" spans="1:8">
      <c r="A10" s="48">
        <f t="shared" ref="A10:A12" si="1">($D$3-$B$3*B9-$C$3*C9)/$A$3</f>
        <v>7.0933707210265914E-2</v>
      </c>
      <c r="B10" s="48">
        <f t="shared" ref="B10:B12" si="2">($D$4-$A$4*A10-$C$4*C9)/$B$4</f>
        <v>-1.0398206513341213</v>
      </c>
      <c r="C10" s="48">
        <f t="shared" ref="C10:C12" si="3">($D$5-$A$5*A10-$B$5*B10)/$C$5</f>
        <v>-0.2664269358421098</v>
      </c>
      <c r="D10" s="48">
        <f t="shared" ref="D10:D12" si="4">ABS(A10-A9)</f>
        <v>0.30785417157761286</v>
      </c>
      <c r="E10" s="48">
        <f t="shared" si="0"/>
        <v>0.28015502959953398</v>
      </c>
      <c r="F10" s="48">
        <f t="shared" si="0"/>
        <v>0.17371200142326421</v>
      </c>
      <c r="G10" s="57" t="str">
        <f t="shared" ref="G10:G12" si="5">IF(AND(D10&lt;$G$7,E10&lt;$G$7,F10&lt;$G$7),"выполнено","--")</f>
        <v>--</v>
      </c>
      <c r="H10" s="57">
        <v>2</v>
      </c>
    </row>
    <row r="11" spans="1:8">
      <c r="A11" s="48">
        <f t="shared" si="1"/>
        <v>6.9410883224180112E-2</v>
      </c>
      <c r="B11" s="48">
        <f t="shared" si="2"/>
        <v>-0.98864187628137101</v>
      </c>
      <c r="C11" s="48">
        <f t="shared" si="3"/>
        <v>-0.28211576576998876</v>
      </c>
      <c r="D11" s="48">
        <f t="shared" si="4"/>
        <v>1.5228239860858028E-3</v>
      </c>
      <c r="E11" s="48">
        <f t="shared" si="0"/>
        <v>5.1178775052750258E-2</v>
      </c>
      <c r="F11" s="48">
        <f t="shared" si="0"/>
        <v>1.5688829927878956E-2</v>
      </c>
      <c r="G11" s="57" t="str">
        <f t="shared" si="5"/>
        <v>--</v>
      </c>
      <c r="H11" s="57">
        <v>3</v>
      </c>
    </row>
    <row r="12" spans="1:8">
      <c r="A12" s="69">
        <f t="shared" si="1"/>
        <v>7.5037377047288703E-2</v>
      </c>
      <c r="B12" s="69">
        <f t="shared" si="2"/>
        <v>-0.99061425372452394</v>
      </c>
      <c r="C12" s="69">
        <f t="shared" si="3"/>
        <v>-0.28305774708134118</v>
      </c>
      <c r="D12" s="48">
        <f t="shared" si="4"/>
        <v>5.6264938231085915E-3</v>
      </c>
      <c r="E12" s="48">
        <f t="shared" si="0"/>
        <v>1.9723774431529284E-3</v>
      </c>
      <c r="F12" s="48">
        <f t="shared" si="0"/>
        <v>9.4198131135242447E-4</v>
      </c>
      <c r="G12" s="57" t="str">
        <f t="shared" si="5"/>
        <v>выполнено</v>
      </c>
      <c r="H12" s="57">
        <v>4</v>
      </c>
    </row>
    <row r="13" spans="1:8">
      <c r="A13" s="68"/>
      <c r="B13" s="68"/>
      <c r="C13" s="68"/>
      <c r="D13" s="68"/>
      <c r="E13" s="68"/>
      <c r="F13" s="68"/>
      <c r="G13" s="51"/>
      <c r="H13" s="51"/>
    </row>
    <row r="14" spans="1:8">
      <c r="A14" s="68"/>
      <c r="B14" s="68"/>
      <c r="C14" s="68"/>
      <c r="D14" s="68"/>
      <c r="E14" s="68"/>
      <c r="F14" s="68"/>
      <c r="G14" s="51"/>
      <c r="H14" s="51"/>
    </row>
    <row r="15" spans="1:8">
      <c r="A15" s="68"/>
      <c r="B15" s="68"/>
      <c r="C15" s="68"/>
      <c r="D15" s="68"/>
      <c r="E15" s="68"/>
      <c r="F15" s="68"/>
      <c r="G15" s="51"/>
      <c r="H15" s="51"/>
    </row>
    <row r="16" spans="1:8">
      <c r="A16" s="68"/>
      <c r="B16" s="68"/>
      <c r="C16" s="68"/>
      <c r="D16" s="68"/>
      <c r="E16" s="68"/>
      <c r="F16" s="68"/>
      <c r="G16" s="51"/>
      <c r="H16" s="51"/>
    </row>
    <row r="17" spans="1:8">
      <c r="A17" s="68"/>
      <c r="B17" s="68"/>
      <c r="C17" s="68"/>
      <c r="D17" s="68"/>
      <c r="E17" s="68"/>
      <c r="F17" s="68"/>
      <c r="G17" s="51"/>
      <c r="H17" s="51"/>
    </row>
    <row r="18" spans="1:8">
      <c r="A18" s="68"/>
      <c r="B18" s="68"/>
      <c r="C18" s="68"/>
      <c r="D18" s="68"/>
      <c r="E18" s="68"/>
      <c r="F18" s="68"/>
      <c r="G18" s="51"/>
      <c r="H18" s="51"/>
    </row>
    <row r="19" spans="1:8">
      <c r="A19" s="68"/>
      <c r="B19" s="68"/>
      <c r="C19" s="68"/>
      <c r="D19" s="68"/>
      <c r="E19" s="68"/>
      <c r="F19" s="68"/>
      <c r="G19" s="51"/>
      <c r="H19" s="51"/>
    </row>
    <row r="20" spans="1:8">
      <c r="A20" s="68"/>
      <c r="B20" s="68"/>
      <c r="C20" s="68"/>
      <c r="D20" s="68"/>
      <c r="E20" s="68"/>
      <c r="F20" s="68"/>
      <c r="G20" s="51"/>
      <c r="H20" s="51"/>
    </row>
    <row r="21" spans="1:8">
      <c r="A21" s="68"/>
      <c r="B21" s="68"/>
      <c r="C21" s="68"/>
      <c r="D21" s="68"/>
      <c r="E21" s="68"/>
      <c r="F21" s="68"/>
      <c r="G21" s="51"/>
      <c r="H21" s="51"/>
    </row>
    <row r="22" spans="1:8">
      <c r="A22" s="68"/>
      <c r="B22" s="68"/>
      <c r="C22" s="68"/>
      <c r="D22" s="68"/>
      <c r="E22" s="68"/>
      <c r="F22" s="68"/>
      <c r="G22" s="51"/>
      <c r="H22" s="51"/>
    </row>
    <row r="23" spans="1:8">
      <c r="A23" s="68"/>
      <c r="B23" s="68"/>
      <c r="C23" s="68"/>
      <c r="D23" s="68"/>
      <c r="E23" s="68"/>
      <c r="F23" s="68"/>
      <c r="G23" s="51"/>
      <c r="H23" s="51"/>
    </row>
    <row r="24" spans="1:8">
      <c r="A24" s="68"/>
      <c r="B24" s="68"/>
      <c r="C24" s="68"/>
      <c r="D24" s="68"/>
      <c r="E24" s="68"/>
      <c r="F24" s="68"/>
      <c r="G24" s="51"/>
      <c r="H24" s="51"/>
    </row>
    <row r="32" spans="1:8">
      <c r="A32" s="68"/>
      <c r="B32" s="68"/>
      <c r="C32" s="68"/>
      <c r="D32" s="68"/>
      <c r="E32" s="68"/>
      <c r="F32" s="68"/>
      <c r="G32" s="51"/>
      <c r="H32" s="51"/>
    </row>
    <row r="33" spans="1:8">
      <c r="A33" s="68"/>
      <c r="B33" s="68"/>
      <c r="C33" s="68"/>
      <c r="D33" s="68"/>
      <c r="E33" s="68"/>
      <c r="F33" s="68"/>
      <c r="G33" s="51"/>
      <c r="H33" s="51"/>
    </row>
    <row r="34" spans="1:8">
      <c r="A34" s="68"/>
      <c r="B34" s="68"/>
      <c r="C34" s="68"/>
      <c r="D34" s="68"/>
      <c r="E34" s="68"/>
      <c r="F34" s="68"/>
      <c r="G34" s="51"/>
      <c r="H34" s="51"/>
    </row>
    <row r="35" spans="1:8">
      <c r="A35" s="68"/>
      <c r="B35" s="68"/>
      <c r="C35" s="68"/>
      <c r="D35" s="68"/>
      <c r="E35" s="68"/>
      <c r="F35" s="68"/>
      <c r="G35" s="51"/>
      <c r="H35" s="51"/>
    </row>
    <row r="36" spans="1:8">
      <c r="A36" s="68"/>
      <c r="B36" s="68"/>
      <c r="C36" s="68"/>
      <c r="D36" s="68"/>
      <c r="E36" s="68"/>
      <c r="F36" s="68"/>
      <c r="G36" s="51"/>
      <c r="H36" s="51"/>
    </row>
    <row r="37" spans="1:8">
      <c r="A37" s="68"/>
      <c r="B37" s="68"/>
      <c r="C37" s="68"/>
      <c r="D37" s="68"/>
      <c r="E37" s="68"/>
      <c r="F37" s="68"/>
      <c r="G37" s="51"/>
      <c r="H37" s="51"/>
    </row>
    <row r="38" spans="1:8">
      <c r="A38" s="68"/>
      <c r="B38" s="68"/>
      <c r="C38" s="68"/>
      <c r="D38" s="68"/>
      <c r="E38" s="68"/>
      <c r="F38" s="68"/>
      <c r="G38" s="51"/>
      <c r="H38" s="51"/>
    </row>
    <row r="39" spans="1:8">
      <c r="A39" s="68"/>
      <c r="B39" s="68"/>
      <c r="C39" s="68"/>
      <c r="D39" s="68"/>
      <c r="E39" s="68"/>
      <c r="F39" s="68"/>
      <c r="G39" s="51"/>
      <c r="H39" s="51"/>
    </row>
    <row r="40" spans="1:8">
      <c r="A40" s="68"/>
      <c r="B40" s="68"/>
      <c r="C40" s="68"/>
      <c r="D40" s="68"/>
      <c r="E40" s="68"/>
      <c r="F40" s="68"/>
      <c r="G40" s="51"/>
      <c r="H40" s="51"/>
    </row>
    <row r="41" spans="1:8">
      <c r="A41" s="68"/>
      <c r="B41" s="68"/>
      <c r="C41" s="68"/>
      <c r="D41" s="68"/>
      <c r="E41" s="68"/>
      <c r="F41" s="68"/>
      <c r="G41" s="51"/>
      <c r="H41" s="51"/>
    </row>
    <row r="42" spans="1:8">
      <c r="A42" s="68"/>
      <c r="B42" s="68"/>
      <c r="C42" s="68"/>
      <c r="D42" s="68"/>
      <c r="E42" s="68"/>
      <c r="F42" s="68"/>
      <c r="G42" s="51"/>
      <c r="H42" s="51"/>
    </row>
    <row r="43" spans="1:8">
      <c r="A43" s="68"/>
      <c r="B43" s="68"/>
      <c r="C43" s="68"/>
      <c r="D43" s="68"/>
      <c r="E43" s="68"/>
      <c r="F43" s="68"/>
      <c r="G43" s="51"/>
      <c r="H43" s="51"/>
    </row>
    <row r="44" spans="1:8">
      <c r="A44" s="68"/>
      <c r="B44" s="68"/>
      <c r="C44" s="68"/>
      <c r="D44" s="68"/>
      <c r="E44" s="68"/>
      <c r="F44" s="68"/>
      <c r="G44" s="51"/>
      <c r="H44" s="51"/>
    </row>
    <row r="45" spans="1:8">
      <c r="A45" s="68"/>
      <c r="B45" s="68"/>
      <c r="C45" s="68"/>
      <c r="D45" s="68"/>
      <c r="E45" s="68"/>
      <c r="F45" s="68"/>
      <c r="G45" s="51"/>
      <c r="H45" s="51"/>
    </row>
    <row r="46" spans="1:8">
      <c r="A46" s="68"/>
      <c r="B46" s="68"/>
      <c r="C46" s="68"/>
      <c r="D46" s="68"/>
      <c r="E46" s="68"/>
      <c r="F46" s="68"/>
      <c r="G46" s="51"/>
      <c r="H46" s="51"/>
    </row>
    <row r="47" spans="1:8">
      <c r="A47" s="68"/>
      <c r="B47" s="68"/>
      <c r="C47" s="68"/>
      <c r="D47" s="68"/>
      <c r="E47" s="68"/>
      <c r="F47" s="68"/>
      <c r="G47" s="51"/>
      <c r="H47" s="51"/>
    </row>
    <row r="48" spans="1:8">
      <c r="A48" s="68"/>
      <c r="B48" s="68"/>
      <c r="C48" s="68"/>
      <c r="D48" s="68"/>
      <c r="E48" s="68"/>
      <c r="F48" s="68"/>
      <c r="G48" s="51"/>
      <c r="H48" s="51"/>
    </row>
    <row r="49" spans="1:8">
      <c r="A49" s="68"/>
      <c r="B49" s="68"/>
      <c r="C49" s="68"/>
      <c r="D49" s="68"/>
      <c r="E49" s="68"/>
      <c r="F49" s="68"/>
      <c r="G49" s="51"/>
      <c r="H49" s="51"/>
    </row>
    <row r="50" spans="1:8">
      <c r="A50" s="68"/>
      <c r="B50" s="68"/>
      <c r="C50" s="68"/>
      <c r="D50" s="68"/>
      <c r="E50" s="68"/>
      <c r="F50" s="68"/>
      <c r="G50" s="51"/>
      <c r="H50" s="51"/>
    </row>
  </sheetData>
  <mergeCells count="2">
    <mergeCell ref="A1:C1"/>
    <mergeCell ref="A2:C2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>
  <dimension ref="A1:H51"/>
  <sheetViews>
    <sheetView zoomScale="85" zoomScaleNormal="85" workbookViewId="0">
      <selection activeCell="A11" sqref="A11:C11"/>
    </sheetView>
  </sheetViews>
  <sheetFormatPr defaultRowHeight="15"/>
  <cols>
    <col min="1" max="1" width="18.85546875" style="58" customWidth="1"/>
    <col min="2" max="2" width="21.42578125" style="58" customWidth="1"/>
    <col min="3" max="3" width="17.140625" style="58" customWidth="1"/>
    <col min="4" max="4" width="11.85546875" customWidth="1"/>
    <col min="5" max="5" width="11.5703125" customWidth="1"/>
    <col min="6" max="6" width="15.140625" customWidth="1"/>
    <col min="7" max="7" width="19.85546875" customWidth="1"/>
    <col min="8" max="8" width="25.140625" style="58" customWidth="1"/>
  </cols>
  <sheetData>
    <row r="1" spans="1:8">
      <c r="A1" s="127" t="s">
        <v>55</v>
      </c>
      <c r="B1" s="127"/>
      <c r="C1" s="127"/>
    </row>
    <row r="2" spans="1:8">
      <c r="A2" s="126" t="s">
        <v>50</v>
      </c>
      <c r="B2" s="126"/>
      <c r="C2" s="126"/>
      <c r="D2" s="59" t="s">
        <v>54</v>
      </c>
    </row>
    <row r="3" spans="1:8">
      <c r="A3" s="60">
        <v>66</v>
      </c>
      <c r="B3" s="60">
        <v>-14</v>
      </c>
      <c r="C3" s="60">
        <v>-22</v>
      </c>
      <c r="D3" s="59">
        <v>25</v>
      </c>
    </row>
    <row r="4" spans="1:8">
      <c r="A4" s="60">
        <v>42</v>
      </c>
      <c r="B4" s="60">
        <v>-87</v>
      </c>
      <c r="C4" s="60">
        <v>26</v>
      </c>
      <c r="D4" s="59">
        <v>82</v>
      </c>
    </row>
    <row r="5" spans="1:8">
      <c r="A5" s="60">
        <v>15</v>
      </c>
      <c r="B5" s="60">
        <v>17</v>
      </c>
      <c r="C5" s="60">
        <v>54</v>
      </c>
      <c r="D5" s="59">
        <v>-31</v>
      </c>
    </row>
    <row r="6" spans="1:8">
      <c r="F6" t="s">
        <v>60</v>
      </c>
    </row>
    <row r="7" spans="1:8">
      <c r="A7" s="44" t="s">
        <v>45</v>
      </c>
      <c r="B7" s="44" t="s">
        <v>46</v>
      </c>
      <c r="C7" s="44" t="s">
        <v>47</v>
      </c>
      <c r="F7" s="62" t="s">
        <v>15</v>
      </c>
      <c r="G7" s="62">
        <v>0.01</v>
      </c>
      <c r="H7" s="44" t="s">
        <v>59</v>
      </c>
    </row>
    <row r="8" spans="1:8">
      <c r="A8" s="57">
        <v>0</v>
      </c>
      <c r="B8" s="57">
        <v>0</v>
      </c>
      <c r="C8" s="57">
        <v>0</v>
      </c>
      <c r="D8" s="44" t="s">
        <v>56</v>
      </c>
      <c r="E8" s="44" t="s">
        <v>57</v>
      </c>
      <c r="F8" s="44" t="s">
        <v>58</v>
      </c>
      <c r="G8" s="57"/>
      <c r="H8" s="57">
        <v>0</v>
      </c>
    </row>
    <row r="9" spans="1:8">
      <c r="A9" s="48">
        <f>($D$3-$B$3*B8-$C$3*C8)/$A$3</f>
        <v>0.37878787878787878</v>
      </c>
      <c r="B9" s="48">
        <f t="shared" ref="B9:B14" si="0">($D$4-$A$4*A8-$C$4*C8)/$B$4</f>
        <v>-0.94252873563218387</v>
      </c>
      <c r="C9" s="48">
        <f t="shared" ref="C9:C14" si="1">($D$5-$A$5*A8-$B$5*B8)/$C$5</f>
        <v>-0.57407407407407407</v>
      </c>
      <c r="D9" s="48">
        <f>ABS(A9-A8)</f>
        <v>0.37878787878787878</v>
      </c>
      <c r="E9" s="48">
        <f t="shared" ref="E9:F14" si="2">ABS(B9-B8)</f>
        <v>0.94252873563218387</v>
      </c>
      <c r="F9" s="48">
        <f t="shared" si="2"/>
        <v>0.57407407407407407</v>
      </c>
      <c r="G9" s="57" t="str">
        <f>IF(AND(D9&lt;$G$7,E9&lt;$G$7,F9&lt;$G$7),"выполнено","--")</f>
        <v>--</v>
      </c>
      <c r="H9" s="57">
        <v>1</v>
      </c>
    </row>
    <row r="10" spans="1:8">
      <c r="A10" s="48">
        <f t="shared" ref="A10:A14" si="3">($D$3-$B$3*B9-$C$3*C9)/$A$3</f>
        <v>-1.2500483764851574E-2</v>
      </c>
      <c r="B10" s="48">
        <f t="shared" si="0"/>
        <v>-0.93122798869925305</v>
      </c>
      <c r="C10" s="48">
        <f t="shared" si="1"/>
        <v>-0.38257091992724174</v>
      </c>
      <c r="D10" s="48">
        <f t="shared" ref="D10:D14" si="4">ABS(A10-A9)</f>
        <v>0.39128836255273036</v>
      </c>
      <c r="E10" s="48">
        <f t="shared" si="2"/>
        <v>1.1300746932930816E-2</v>
      </c>
      <c r="F10" s="48">
        <f t="shared" si="2"/>
        <v>0.19150315414683233</v>
      </c>
      <c r="G10" s="57" t="str">
        <f t="shared" ref="G10:G14" si="5">IF(AND(D10&lt;$G$7,E10&lt;$G$7,F10&lt;$G$7),"выполнено","--")</f>
        <v>--</v>
      </c>
      <c r="H10" s="57">
        <v>2</v>
      </c>
    </row>
    <row r="11" spans="1:8">
      <c r="A11" s="48">
        <f t="shared" si="3"/>
        <v>5.3731029088047555E-2</v>
      </c>
      <c r="B11" s="48">
        <f t="shared" si="0"/>
        <v>-1.0628949912210581</v>
      </c>
      <c r="C11" s="48">
        <f t="shared" si="1"/>
        <v>-0.27743735065999858</v>
      </c>
      <c r="D11" s="48">
        <f t="shared" si="4"/>
        <v>6.6231512852899133E-2</v>
      </c>
      <c r="E11" s="48">
        <f t="shared" si="2"/>
        <v>0.13166700252180508</v>
      </c>
      <c r="F11" s="48">
        <f t="shared" si="2"/>
        <v>0.10513356926724315</v>
      </c>
      <c r="G11" s="57" t="str">
        <f t="shared" si="5"/>
        <v>--</v>
      </c>
      <c r="H11" s="57">
        <v>3</v>
      </c>
    </row>
    <row r="12" spans="1:8">
      <c r="A12" s="48">
        <f t="shared" si="3"/>
        <v>6.0846188005836625E-2</v>
      </c>
      <c r="B12" s="48">
        <f t="shared" si="0"/>
        <v>-0.9995019298328961</v>
      </c>
      <c r="C12" s="48">
        <f t="shared" si="1"/>
        <v>-0.2543842701030134</v>
      </c>
      <c r="D12" s="48">
        <f t="shared" si="4"/>
        <v>7.1151589177890703E-3</v>
      </c>
      <c r="E12" s="48">
        <f t="shared" si="2"/>
        <v>6.3393061388162031E-2</v>
      </c>
      <c r="F12" s="48">
        <f t="shared" si="2"/>
        <v>2.3053080556985184E-2</v>
      </c>
      <c r="G12" s="57" t="str">
        <f t="shared" si="5"/>
        <v>--</v>
      </c>
      <c r="H12" s="57">
        <v>4</v>
      </c>
    </row>
    <row r="13" spans="1:8">
      <c r="A13" s="48">
        <f t="shared" si="3"/>
        <v>8.1977561213229702E-2</v>
      </c>
      <c r="B13" s="48">
        <f t="shared" si="0"/>
        <v>-0.98917759915440473</v>
      </c>
      <c r="C13" s="48">
        <f t="shared" si="1"/>
        <v>-0.27631777801719104</v>
      </c>
      <c r="D13" s="48">
        <f t="shared" si="4"/>
        <v>2.1131373207393077E-2</v>
      </c>
      <c r="E13" s="48">
        <f t="shared" si="2"/>
        <v>1.0324330678491367E-2</v>
      </c>
      <c r="F13" s="48">
        <f t="shared" si="2"/>
        <v>2.1933507914177641E-2</v>
      </c>
      <c r="G13" s="57" t="str">
        <f t="shared" si="5"/>
        <v>--</v>
      </c>
      <c r="H13" s="57">
        <v>5</v>
      </c>
    </row>
    <row r="14" spans="1:8">
      <c r="A14" s="70">
        <f t="shared" si="3"/>
        <v>7.6856401446365616E-2</v>
      </c>
      <c r="B14" s="70">
        <f t="shared" si="0"/>
        <v>-0.98553108801714162</v>
      </c>
      <c r="C14" s="70">
        <f t="shared" si="1"/>
        <v>-0.28543785615876976</v>
      </c>
      <c r="D14" s="65">
        <f t="shared" si="4"/>
        <v>5.1211597668640862E-3</v>
      </c>
      <c r="E14" s="65">
        <f t="shared" si="2"/>
        <v>3.6465111372631087E-3</v>
      </c>
      <c r="F14" s="65">
        <f t="shared" si="2"/>
        <v>9.1200781415787247E-3</v>
      </c>
      <c r="G14" s="66" t="str">
        <f t="shared" si="5"/>
        <v>выполнено</v>
      </c>
      <c r="H14" s="66">
        <v>6</v>
      </c>
    </row>
    <row r="15" spans="1:8">
      <c r="A15" s="67"/>
      <c r="B15" s="67"/>
      <c r="C15" s="67"/>
      <c r="D15" s="67"/>
      <c r="E15" s="67"/>
      <c r="F15" s="67"/>
      <c r="G15" s="42"/>
      <c r="H15" s="42"/>
    </row>
    <row r="16" spans="1:8">
      <c r="A16" s="67"/>
      <c r="B16" s="67"/>
      <c r="C16" s="67"/>
      <c r="D16" s="67"/>
      <c r="E16" s="67"/>
      <c r="F16" s="67"/>
      <c r="G16" s="42"/>
      <c r="H16" s="42"/>
    </row>
    <row r="17" spans="1:8">
      <c r="A17" s="68"/>
      <c r="B17" s="68"/>
      <c r="C17" s="68"/>
      <c r="D17" s="67"/>
      <c r="E17" s="67"/>
      <c r="F17" s="67"/>
      <c r="G17" s="42"/>
      <c r="H17" s="42"/>
    </row>
    <row r="18" spans="1:8">
      <c r="A18" s="67"/>
      <c r="B18" s="67"/>
      <c r="C18" s="67"/>
      <c r="D18" s="67"/>
      <c r="E18" s="67"/>
      <c r="F18" s="67"/>
      <c r="G18" s="42"/>
      <c r="H18" s="42"/>
    </row>
    <row r="19" spans="1:8">
      <c r="A19" s="68"/>
      <c r="B19" s="68"/>
      <c r="C19" s="68"/>
      <c r="D19" s="68"/>
      <c r="E19" s="68"/>
      <c r="F19" s="68"/>
      <c r="G19" s="51"/>
      <c r="H19" s="51"/>
    </row>
    <row r="20" spans="1:8">
      <c r="A20" s="68"/>
      <c r="B20" s="68"/>
      <c r="C20" s="68"/>
      <c r="D20" s="68"/>
      <c r="E20" s="68"/>
      <c r="F20" s="68"/>
      <c r="G20" s="51"/>
      <c r="H20" s="51"/>
    </row>
    <row r="21" spans="1:8">
      <c r="A21" s="68"/>
      <c r="B21" s="68"/>
      <c r="C21" s="68"/>
      <c r="D21" s="68"/>
      <c r="E21" s="68"/>
      <c r="F21" s="68"/>
      <c r="G21" s="51"/>
      <c r="H21" s="51"/>
    </row>
    <row r="22" spans="1:8">
      <c r="A22" s="68"/>
      <c r="B22" s="68"/>
      <c r="C22" s="68"/>
      <c r="D22" s="68"/>
      <c r="E22" s="68"/>
      <c r="F22" s="68"/>
      <c r="G22" s="51"/>
      <c r="H22" s="51"/>
    </row>
    <row r="23" spans="1:8">
      <c r="A23" s="68"/>
      <c r="B23" s="68"/>
      <c r="C23" s="68"/>
      <c r="D23" s="68"/>
      <c r="E23" s="68"/>
      <c r="F23" s="68"/>
      <c r="G23" s="51"/>
      <c r="H23" s="51"/>
    </row>
    <row r="24" spans="1:8">
      <c r="A24" s="68"/>
      <c r="B24" s="68"/>
      <c r="C24" s="68"/>
      <c r="D24" s="68"/>
      <c r="E24" s="68"/>
      <c r="F24" s="68"/>
      <c r="G24" s="51"/>
      <c r="H24" s="51"/>
    </row>
    <row r="25" spans="1:8">
      <c r="A25" s="68"/>
      <c r="B25" s="68"/>
      <c r="C25" s="68"/>
      <c r="D25" s="68"/>
      <c r="E25" s="68"/>
      <c r="F25" s="68"/>
      <c r="G25" s="51"/>
      <c r="H25" s="51"/>
    </row>
    <row r="26" spans="1:8">
      <c r="A26" s="68"/>
      <c r="B26" s="68"/>
      <c r="C26" s="68"/>
      <c r="D26" s="68"/>
      <c r="E26" s="68"/>
      <c r="F26" s="68"/>
      <c r="G26" s="51"/>
      <c r="H26" s="51"/>
    </row>
    <row r="27" spans="1:8">
      <c r="A27" s="68"/>
      <c r="B27" s="68"/>
      <c r="C27" s="68"/>
      <c r="D27" s="68"/>
      <c r="E27" s="68"/>
      <c r="F27" s="68"/>
      <c r="G27" s="51"/>
      <c r="H27" s="51"/>
    </row>
    <row r="28" spans="1:8">
      <c r="A28" s="68"/>
      <c r="B28" s="68"/>
      <c r="C28" s="68"/>
      <c r="D28" s="68"/>
      <c r="E28" s="68"/>
      <c r="F28" s="68"/>
      <c r="G28" s="51"/>
      <c r="H28" s="51"/>
    </row>
    <row r="29" spans="1:8">
      <c r="A29" s="68"/>
      <c r="B29" s="68"/>
      <c r="C29" s="68"/>
      <c r="D29" s="68"/>
      <c r="E29" s="68"/>
      <c r="F29" s="68"/>
      <c r="G29" s="51"/>
      <c r="H29" s="51"/>
    </row>
    <row r="30" spans="1:8">
      <c r="A30" s="68"/>
      <c r="B30" s="68"/>
      <c r="C30" s="68"/>
      <c r="D30" s="68"/>
      <c r="E30" s="68"/>
      <c r="F30" s="68"/>
      <c r="G30" s="51"/>
      <c r="H30" s="51"/>
    </row>
    <row r="31" spans="1:8">
      <c r="A31" s="67"/>
      <c r="B31" s="67"/>
      <c r="C31" s="67"/>
      <c r="D31" s="67"/>
      <c r="E31" s="67"/>
      <c r="F31" s="67"/>
      <c r="G31" s="42"/>
      <c r="H31" s="42"/>
    </row>
    <row r="32" spans="1:8">
      <c r="A32" s="67"/>
      <c r="B32" s="67"/>
      <c r="C32" s="67"/>
      <c r="D32" s="67"/>
      <c r="E32" s="67"/>
      <c r="F32" s="67"/>
      <c r="G32" s="42"/>
      <c r="H32" s="42"/>
    </row>
    <row r="33" spans="1:8">
      <c r="A33" s="67"/>
      <c r="B33" s="67"/>
      <c r="C33" s="67"/>
      <c r="D33" s="67"/>
      <c r="E33" s="67"/>
      <c r="F33" s="67"/>
      <c r="G33" s="42"/>
      <c r="H33" s="42"/>
    </row>
    <row r="34" spans="1:8">
      <c r="A34" s="67"/>
      <c r="B34" s="67"/>
      <c r="C34" s="67"/>
      <c r="D34" s="67"/>
      <c r="E34" s="67"/>
      <c r="F34" s="67"/>
      <c r="G34" s="42"/>
      <c r="H34" s="42"/>
    </row>
    <row r="35" spans="1:8">
      <c r="A35" s="67"/>
      <c r="B35" s="67"/>
      <c r="C35" s="67"/>
      <c r="D35" s="67"/>
      <c r="E35" s="67"/>
      <c r="F35" s="67"/>
      <c r="G35" s="42"/>
      <c r="H35" s="42"/>
    </row>
    <row r="36" spans="1:8">
      <c r="A36" s="67"/>
      <c r="B36" s="67"/>
      <c r="C36" s="67"/>
      <c r="D36" s="67"/>
      <c r="E36" s="67"/>
      <c r="F36" s="67"/>
      <c r="G36" s="42"/>
      <c r="H36" s="42"/>
    </row>
    <row r="37" spans="1:8">
      <c r="A37" s="67"/>
      <c r="B37" s="67"/>
      <c r="C37" s="67"/>
      <c r="D37" s="67"/>
      <c r="E37" s="67"/>
      <c r="F37" s="67"/>
      <c r="G37" s="42"/>
      <c r="H37" s="42"/>
    </row>
    <row r="38" spans="1:8">
      <c r="A38" s="67"/>
      <c r="B38" s="67"/>
      <c r="C38" s="67"/>
      <c r="D38" s="67"/>
      <c r="E38" s="67"/>
      <c r="F38" s="67"/>
      <c r="G38" s="42"/>
      <c r="H38" s="42"/>
    </row>
    <row r="39" spans="1:8">
      <c r="A39" s="67"/>
      <c r="B39" s="67"/>
      <c r="C39" s="67"/>
      <c r="D39" s="67"/>
      <c r="E39" s="67"/>
      <c r="F39" s="67"/>
      <c r="G39" s="42"/>
      <c r="H39" s="42"/>
    </row>
    <row r="40" spans="1:8">
      <c r="A40" s="67"/>
      <c r="B40" s="67"/>
      <c r="C40" s="67"/>
      <c r="D40" s="67"/>
      <c r="E40" s="67"/>
      <c r="F40" s="67"/>
      <c r="G40" s="42"/>
      <c r="H40" s="42"/>
    </row>
    <row r="41" spans="1:8">
      <c r="A41" s="67"/>
      <c r="B41" s="67"/>
      <c r="C41" s="67"/>
      <c r="D41" s="67"/>
      <c r="E41" s="67"/>
      <c r="F41" s="67"/>
      <c r="G41" s="42"/>
      <c r="H41" s="42"/>
    </row>
    <row r="42" spans="1:8">
      <c r="A42" s="67"/>
      <c r="B42" s="67"/>
      <c r="C42" s="67"/>
      <c r="D42" s="67"/>
      <c r="E42" s="67"/>
      <c r="F42" s="67"/>
      <c r="G42" s="42"/>
      <c r="H42" s="42"/>
    </row>
    <row r="43" spans="1:8">
      <c r="A43" s="67"/>
      <c r="B43" s="67"/>
      <c r="C43" s="67"/>
      <c r="D43" s="67"/>
      <c r="E43" s="67"/>
      <c r="F43" s="67"/>
      <c r="G43" s="42"/>
      <c r="H43" s="42"/>
    </row>
    <row r="44" spans="1:8">
      <c r="A44" s="67"/>
      <c r="B44" s="67"/>
      <c r="C44" s="67"/>
      <c r="D44" s="67"/>
      <c r="E44" s="67"/>
      <c r="F44" s="67"/>
      <c r="G44" s="42"/>
      <c r="H44" s="42"/>
    </row>
    <row r="45" spans="1:8">
      <c r="A45" s="67"/>
      <c r="B45" s="67"/>
      <c r="C45" s="67"/>
      <c r="D45" s="67"/>
      <c r="E45" s="67"/>
      <c r="F45" s="67"/>
      <c r="G45" s="42"/>
      <c r="H45" s="42"/>
    </row>
    <row r="46" spans="1:8">
      <c r="A46" s="67"/>
      <c r="B46" s="67"/>
      <c r="C46" s="67"/>
      <c r="D46" s="67"/>
      <c r="E46" s="67"/>
      <c r="F46" s="67"/>
      <c r="G46" s="42"/>
      <c r="H46" s="42"/>
    </row>
    <row r="47" spans="1:8">
      <c r="A47" s="67"/>
      <c r="B47" s="67"/>
      <c r="C47" s="67"/>
      <c r="D47" s="67"/>
      <c r="E47" s="67"/>
      <c r="F47" s="67"/>
      <c r="G47" s="42"/>
      <c r="H47" s="42"/>
    </row>
    <row r="48" spans="1:8">
      <c r="A48" s="67"/>
      <c r="B48" s="67"/>
      <c r="C48" s="67"/>
      <c r="D48" s="67"/>
      <c r="E48" s="67"/>
      <c r="F48" s="67"/>
      <c r="G48" s="42"/>
      <c r="H48" s="42"/>
    </row>
    <row r="49" spans="1:8">
      <c r="A49" s="67"/>
      <c r="B49" s="67"/>
      <c r="C49" s="67"/>
      <c r="D49" s="67"/>
      <c r="E49" s="67"/>
      <c r="F49" s="67"/>
      <c r="G49" s="42"/>
      <c r="H49" s="42"/>
    </row>
    <row r="50" spans="1:8">
      <c r="A50" s="67"/>
      <c r="B50" s="67"/>
      <c r="C50" s="67"/>
      <c r="D50" s="67"/>
      <c r="E50" s="67"/>
      <c r="F50" s="67"/>
      <c r="G50" s="42"/>
      <c r="H50" s="42"/>
    </row>
    <row r="51" spans="1:8">
      <c r="A51" s="42"/>
      <c r="B51" s="42"/>
    </row>
  </sheetData>
  <mergeCells count="2">
    <mergeCell ref="A1:C1"/>
    <mergeCell ref="A2:C2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>
  <dimension ref="A1:I10"/>
  <sheetViews>
    <sheetView zoomScale="115" zoomScaleNormal="115" workbookViewId="0">
      <selection activeCell="A10" sqref="A10"/>
    </sheetView>
  </sheetViews>
  <sheetFormatPr defaultRowHeight="15"/>
  <cols>
    <col min="2" max="2" width="10.5703125" bestFit="1" customWidth="1"/>
    <col min="6" max="6" width="13.140625" bestFit="1" customWidth="1"/>
    <col min="8" max="8" width="12" customWidth="1"/>
    <col min="9" max="9" width="8.85546875" customWidth="1"/>
  </cols>
  <sheetData>
    <row r="1" spans="1:9">
      <c r="A1" s="64" t="s">
        <v>0</v>
      </c>
      <c r="B1" s="64">
        <v>0.63</v>
      </c>
      <c r="C1" s="64">
        <v>1.28</v>
      </c>
      <c r="D1" s="64">
        <v>2.5299999999999998</v>
      </c>
      <c r="E1" s="64">
        <v>3.17</v>
      </c>
      <c r="H1" s="19" t="s">
        <v>63</v>
      </c>
      <c r="I1" s="19">
        <v>2.75</v>
      </c>
    </row>
    <row r="2" spans="1:9">
      <c r="A2" s="64" t="s">
        <v>62</v>
      </c>
      <c r="B2" s="64">
        <v>-0.28999999999999998</v>
      </c>
      <c r="C2" s="64">
        <v>0.32</v>
      </c>
      <c r="D2" s="64">
        <v>2.35</v>
      </c>
      <c r="E2" s="64">
        <v>3.66</v>
      </c>
    </row>
    <row r="4" spans="1:9">
      <c r="A4" s="64" t="s">
        <v>0</v>
      </c>
      <c r="B4" s="64" t="s">
        <v>61</v>
      </c>
      <c r="C4" s="64" t="s">
        <v>45</v>
      </c>
      <c r="D4" s="64" t="s">
        <v>46</v>
      </c>
      <c r="E4" s="64" t="s">
        <v>47</v>
      </c>
      <c r="F4" s="64" t="s">
        <v>64</v>
      </c>
      <c r="G4" s="64" t="s">
        <v>65</v>
      </c>
      <c r="H4" s="64" t="s">
        <v>66</v>
      </c>
    </row>
    <row r="5" spans="1:9">
      <c r="A5" s="64" t="s">
        <v>61</v>
      </c>
      <c r="B5" s="44">
        <f>$I$1-$B$1</f>
        <v>2.12</v>
      </c>
      <c r="C5" s="64">
        <f>$B$1-$C$1</f>
        <v>-0.65</v>
      </c>
      <c r="D5" s="64">
        <f>$B$1-$D$1</f>
        <v>-1.9</v>
      </c>
      <c r="E5" s="64">
        <f>$B$1-$E$1</f>
        <v>-2.54</v>
      </c>
      <c r="F5" s="48">
        <f>B5*C5*D5*E5</f>
        <v>-6.6502280000000011</v>
      </c>
      <c r="G5" s="64">
        <f>B2</f>
        <v>-0.28999999999999998</v>
      </c>
      <c r="H5" s="48">
        <f>G5/F5</f>
        <v>4.3607527441164411E-2</v>
      </c>
    </row>
    <row r="6" spans="1:9">
      <c r="A6" s="64" t="s">
        <v>45</v>
      </c>
      <c r="B6" s="64">
        <f>$C$1-$B$1</f>
        <v>0.65</v>
      </c>
      <c r="C6" s="44">
        <f>$I$1-$C$1</f>
        <v>1.47</v>
      </c>
      <c r="D6" s="64">
        <f>$C$1-$D$1</f>
        <v>-1.2499999999999998</v>
      </c>
      <c r="E6" s="64">
        <f>$C$1-$E$1</f>
        <v>-1.89</v>
      </c>
      <c r="F6" s="48">
        <f t="shared" ref="F6:F8" si="0">B6*C6*D6*E6</f>
        <v>2.2573687499999995</v>
      </c>
      <c r="G6" s="64">
        <f>C2</f>
        <v>0.32</v>
      </c>
      <c r="H6" s="48">
        <f t="shared" ref="H6:H8" si="1">G6/F6</f>
        <v>0.14175796488721662</v>
      </c>
    </row>
    <row r="7" spans="1:9">
      <c r="A7" s="64" t="s">
        <v>46</v>
      </c>
      <c r="B7" s="64">
        <f>$D$1-$B$1</f>
        <v>1.9</v>
      </c>
      <c r="C7" s="64">
        <f>$D$1-$C$1</f>
        <v>1.2499999999999998</v>
      </c>
      <c r="D7" s="44">
        <f>$I$1-$D$1</f>
        <v>0.2200000000000002</v>
      </c>
      <c r="E7" s="64">
        <f>$D$1-$E$1</f>
        <v>-0.64000000000000012</v>
      </c>
      <c r="F7" s="48">
        <f t="shared" si="0"/>
        <v>-0.33440000000000031</v>
      </c>
      <c r="G7" s="64">
        <f>D2</f>
        <v>2.35</v>
      </c>
      <c r="H7" s="48">
        <f t="shared" si="1"/>
        <v>-7.0275119617224817</v>
      </c>
    </row>
    <row r="8" spans="1:9">
      <c r="A8" s="64" t="s">
        <v>47</v>
      </c>
      <c r="B8" s="64">
        <f>$E$1-$B$1</f>
        <v>2.54</v>
      </c>
      <c r="C8" s="64">
        <f>$E$1-$C$1</f>
        <v>1.89</v>
      </c>
      <c r="D8" s="64">
        <f>$E$1-$D$1</f>
        <v>0.64000000000000012</v>
      </c>
      <c r="E8" s="44">
        <f>$I$1-$E$1</f>
        <v>-0.41999999999999993</v>
      </c>
      <c r="F8" s="48">
        <f t="shared" si="0"/>
        <v>-1.2904012800000002</v>
      </c>
      <c r="G8" s="64">
        <f>E2</f>
        <v>3.66</v>
      </c>
      <c r="H8" s="48">
        <f t="shared" si="1"/>
        <v>-2.8363270067432045</v>
      </c>
    </row>
    <row r="9" spans="1:9">
      <c r="E9" s="72" t="s">
        <v>67</v>
      </c>
      <c r="F9" s="73">
        <f>B5*C6*D7*E8</f>
        <v>-0.28795536000000022</v>
      </c>
      <c r="G9" s="72" t="s">
        <v>68</v>
      </c>
      <c r="H9" s="74">
        <f>SUM(H5:H8)</f>
        <v>-9.6784734761373059</v>
      </c>
    </row>
    <row r="10" spans="1:9">
      <c r="A10" s="19" t="s">
        <v>69</v>
      </c>
      <c r="B10" s="71">
        <f>F9*H9</f>
        <v>2.7869683140715713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1:G6"/>
  <sheetViews>
    <sheetView zoomScale="70" zoomScaleNormal="70" workbookViewId="0">
      <selection activeCell="AE62" sqref="AE62"/>
    </sheetView>
  </sheetViews>
  <sheetFormatPr defaultRowHeight="15"/>
  <cols>
    <col min="6" max="6" width="9.140625" customWidth="1"/>
  </cols>
  <sheetData>
    <row r="1" spans="1:7">
      <c r="A1" s="75" t="s">
        <v>4</v>
      </c>
      <c r="B1" s="75" t="s">
        <v>0</v>
      </c>
      <c r="C1" s="75" t="s">
        <v>62</v>
      </c>
      <c r="D1" s="75" t="s">
        <v>70</v>
      </c>
      <c r="E1" s="75" t="s">
        <v>71</v>
      </c>
      <c r="F1" s="75" t="s">
        <v>72</v>
      </c>
      <c r="G1" s="75" t="s">
        <v>73</v>
      </c>
    </row>
    <row r="2" spans="1:7">
      <c r="A2" s="79">
        <v>0</v>
      </c>
      <c r="B2" s="75">
        <v>1</v>
      </c>
      <c r="C2" s="80">
        <v>0.69</v>
      </c>
      <c r="D2" s="81">
        <f>C3-C2</f>
        <v>0.49</v>
      </c>
      <c r="E2" s="81">
        <f>D3-D2</f>
        <v>-5.9999999999999831E-2</v>
      </c>
      <c r="F2" s="81">
        <f>E3-E2</f>
        <v>-4.4408920985006262E-16</v>
      </c>
      <c r="G2" s="77">
        <f>F3-F2</f>
        <v>1.0000000000000675E-2</v>
      </c>
    </row>
    <row r="3" spans="1:7">
      <c r="A3" s="79">
        <v>1</v>
      </c>
      <c r="B3" s="75">
        <v>1.5</v>
      </c>
      <c r="C3" s="75">
        <v>1.18</v>
      </c>
      <c r="D3" s="54">
        <f t="shared" ref="D3:E5" si="0">C4-C3</f>
        <v>0.43000000000000016</v>
      </c>
      <c r="E3" s="54">
        <f t="shared" si="0"/>
        <v>-6.0000000000000275E-2</v>
      </c>
      <c r="F3" s="77">
        <f>E4-E3</f>
        <v>1.0000000000000231E-2</v>
      </c>
      <c r="G3" s="75"/>
    </row>
    <row r="4" spans="1:7">
      <c r="A4" s="79">
        <v>2</v>
      </c>
      <c r="B4" s="75">
        <v>2</v>
      </c>
      <c r="C4" s="75">
        <v>1.61</v>
      </c>
      <c r="D4" s="54">
        <f t="shared" si="0"/>
        <v>0.36999999999999988</v>
      </c>
      <c r="E4" s="77">
        <f t="shared" si="0"/>
        <v>-5.0000000000000044E-2</v>
      </c>
      <c r="F4" s="75"/>
      <c r="G4" s="75"/>
    </row>
    <row r="5" spans="1:7">
      <c r="A5" s="79">
        <v>3</v>
      </c>
      <c r="B5" s="75">
        <v>2.5</v>
      </c>
      <c r="C5" s="75">
        <v>1.98</v>
      </c>
      <c r="D5" s="77">
        <f t="shared" si="0"/>
        <v>0.31999999999999984</v>
      </c>
      <c r="E5" s="75"/>
      <c r="F5" s="75"/>
      <c r="G5" s="75"/>
    </row>
    <row r="6" spans="1:7">
      <c r="A6" s="79">
        <v>4</v>
      </c>
      <c r="B6" s="75">
        <v>3</v>
      </c>
      <c r="C6" s="78">
        <v>2.2999999999999998</v>
      </c>
      <c r="D6" s="75"/>
      <c r="E6" s="75"/>
      <c r="F6" s="75"/>
      <c r="G6" s="75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:I10"/>
  <sheetViews>
    <sheetView zoomScale="115" zoomScaleNormal="115" workbookViewId="0">
      <selection activeCell="B10" sqref="B10"/>
    </sheetView>
  </sheetViews>
  <sheetFormatPr defaultRowHeight="15"/>
  <cols>
    <col min="2" max="2" width="10.5703125" bestFit="1" customWidth="1"/>
    <col min="6" max="6" width="13.140625" bestFit="1" customWidth="1"/>
    <col min="8" max="8" width="12" customWidth="1"/>
    <col min="9" max="9" width="8.85546875" customWidth="1"/>
  </cols>
  <sheetData>
    <row r="1" spans="1:9">
      <c r="A1" s="76" t="s">
        <v>0</v>
      </c>
      <c r="B1" s="76">
        <v>2</v>
      </c>
      <c r="C1" s="76">
        <v>4</v>
      </c>
      <c r="D1" s="76">
        <v>7</v>
      </c>
      <c r="E1" s="76">
        <v>8</v>
      </c>
      <c r="H1" s="19" t="s">
        <v>63</v>
      </c>
      <c r="I1" s="19">
        <v>2.12</v>
      </c>
    </row>
    <row r="2" spans="1:9">
      <c r="A2" s="76" t="s">
        <v>62</v>
      </c>
      <c r="B2" s="76">
        <v>-1</v>
      </c>
      <c r="C2" s="76">
        <v>-6</v>
      </c>
      <c r="D2" s="76">
        <v>3</v>
      </c>
      <c r="E2" s="76">
        <v>12</v>
      </c>
    </row>
    <row r="4" spans="1:9">
      <c r="A4" s="76" t="s">
        <v>0</v>
      </c>
      <c r="B4" s="76" t="s">
        <v>61</v>
      </c>
      <c r="C4" s="76" t="s">
        <v>45</v>
      </c>
      <c r="D4" s="76" t="s">
        <v>46</v>
      </c>
      <c r="E4" s="76" t="s">
        <v>47</v>
      </c>
      <c r="F4" s="76" t="s">
        <v>64</v>
      </c>
      <c r="G4" s="76" t="s">
        <v>65</v>
      </c>
      <c r="H4" s="76" t="s">
        <v>66</v>
      </c>
    </row>
    <row r="5" spans="1:9">
      <c r="A5" s="76" t="s">
        <v>61</v>
      </c>
      <c r="B5" s="44">
        <f>$I$1-$B$1</f>
        <v>0.12000000000000011</v>
      </c>
      <c r="C5" s="76">
        <f>$B$1-$C$1</f>
        <v>-2</v>
      </c>
      <c r="D5" s="76">
        <f>$B$1-$D$1</f>
        <v>-5</v>
      </c>
      <c r="E5" s="76">
        <f>$B$1-$E$1</f>
        <v>-6</v>
      </c>
      <c r="F5" s="48">
        <f>B5*C5*D5*E5</f>
        <v>-7.2000000000000064</v>
      </c>
      <c r="G5" s="76">
        <f>B2</f>
        <v>-1</v>
      </c>
      <c r="H5" s="48">
        <f>G5/F5</f>
        <v>0.13888888888888876</v>
      </c>
    </row>
    <row r="6" spans="1:9">
      <c r="A6" s="76" t="s">
        <v>45</v>
      </c>
      <c r="B6" s="76">
        <f>$C$1-$B$1</f>
        <v>2</v>
      </c>
      <c r="C6" s="44">
        <f>$I$1-$C$1</f>
        <v>-1.88</v>
      </c>
      <c r="D6" s="76">
        <f>$C$1-$D$1</f>
        <v>-3</v>
      </c>
      <c r="E6" s="76">
        <f>$C$1-$E$1</f>
        <v>-4</v>
      </c>
      <c r="F6" s="48">
        <f t="shared" ref="F6:F8" si="0">B6*C6*D6*E6</f>
        <v>-45.12</v>
      </c>
      <c r="G6" s="76">
        <f>C2</f>
        <v>-6</v>
      </c>
      <c r="H6" s="48">
        <f t="shared" ref="H6:H8" si="1">G6/F6</f>
        <v>0.13297872340425532</v>
      </c>
    </row>
    <row r="7" spans="1:9">
      <c r="A7" s="76" t="s">
        <v>46</v>
      </c>
      <c r="B7" s="76">
        <f>$D$1-$B$1</f>
        <v>5</v>
      </c>
      <c r="C7" s="76">
        <f>$D$1-$C$1</f>
        <v>3</v>
      </c>
      <c r="D7" s="44">
        <f>$I$1-$D$1</f>
        <v>-4.88</v>
      </c>
      <c r="E7" s="76">
        <f>$D$1-$E$1</f>
        <v>-1</v>
      </c>
      <c r="F7" s="48">
        <f t="shared" si="0"/>
        <v>73.2</v>
      </c>
      <c r="G7" s="76">
        <f>D2</f>
        <v>3</v>
      </c>
      <c r="H7" s="48">
        <f t="shared" si="1"/>
        <v>4.0983606557377046E-2</v>
      </c>
    </row>
    <row r="8" spans="1:9">
      <c r="A8" s="76" t="s">
        <v>47</v>
      </c>
      <c r="B8" s="76">
        <f>$E$1-$B$1</f>
        <v>6</v>
      </c>
      <c r="C8" s="76">
        <f>$E$1-$C$1</f>
        <v>4</v>
      </c>
      <c r="D8" s="76">
        <f>$E$1-$D$1</f>
        <v>1</v>
      </c>
      <c r="E8" s="44">
        <f>$I$1-$E$1</f>
        <v>-5.88</v>
      </c>
      <c r="F8" s="48">
        <f t="shared" si="0"/>
        <v>-141.12</v>
      </c>
      <c r="G8" s="76">
        <f>E2</f>
        <v>12</v>
      </c>
      <c r="H8" s="48">
        <f t="shared" si="1"/>
        <v>-8.5034013605442174E-2</v>
      </c>
    </row>
    <row r="9" spans="1:9">
      <c r="E9" s="72" t="s">
        <v>67</v>
      </c>
      <c r="F9" s="73">
        <f>B5*C6*D7*E8</f>
        <v>-6.4734566400000046</v>
      </c>
      <c r="G9" s="72" t="s">
        <v>68</v>
      </c>
      <c r="H9" s="74">
        <f>SUM(H5:H8)</f>
        <v>0.22781720524507892</v>
      </c>
    </row>
    <row r="10" spans="1:9">
      <c r="A10" s="19" t="s">
        <v>74</v>
      </c>
      <c r="B10" s="82">
        <f>F9*H9</f>
        <v>-1.4747648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1:G6"/>
  <sheetViews>
    <sheetView zoomScale="145" zoomScaleNormal="145" workbookViewId="0">
      <selection activeCell="M128" sqref="M128"/>
    </sheetView>
  </sheetViews>
  <sheetFormatPr defaultRowHeight="15"/>
  <cols>
    <col min="6" max="6" width="9.140625" customWidth="1"/>
  </cols>
  <sheetData>
    <row r="1" spans="1:7">
      <c r="A1" s="76" t="s">
        <v>4</v>
      </c>
      <c r="B1" s="76" t="s">
        <v>0</v>
      </c>
      <c r="C1" s="76" t="s">
        <v>62</v>
      </c>
      <c r="D1" s="76" t="s">
        <v>70</v>
      </c>
      <c r="E1" s="76" t="s">
        <v>71</v>
      </c>
      <c r="F1" s="76" t="s">
        <v>72</v>
      </c>
      <c r="G1" s="76" t="s">
        <v>73</v>
      </c>
    </row>
    <row r="2" spans="1:7">
      <c r="A2" s="79">
        <v>0</v>
      </c>
      <c r="B2" s="76">
        <v>0.1</v>
      </c>
      <c r="C2" s="80">
        <v>0.73</v>
      </c>
      <c r="D2" s="81">
        <f>C3-C2</f>
        <v>1.52</v>
      </c>
      <c r="E2" s="81">
        <f>D3-D2</f>
        <v>-0.20999999999999996</v>
      </c>
      <c r="F2" s="81">
        <f>E3-E2</f>
        <v>-8.9999999999999858E-2</v>
      </c>
      <c r="G2" s="77">
        <f>F3-F2</f>
        <v>-0.30000000000000115</v>
      </c>
    </row>
    <row r="3" spans="1:7">
      <c r="A3" s="79">
        <v>1</v>
      </c>
      <c r="B3" s="76">
        <v>0.7</v>
      </c>
      <c r="C3" s="76">
        <v>2.25</v>
      </c>
      <c r="D3" s="54">
        <f t="shared" ref="D3:E5" si="0">C4-C3</f>
        <v>1.31</v>
      </c>
      <c r="E3" s="54">
        <f t="shared" si="0"/>
        <v>-0.29999999999999982</v>
      </c>
      <c r="F3" s="77">
        <f>E4-E3</f>
        <v>-0.39000000000000101</v>
      </c>
      <c r="G3" s="76"/>
    </row>
    <row r="4" spans="1:7">
      <c r="A4" s="79">
        <v>2</v>
      </c>
      <c r="B4" s="76">
        <v>1.3</v>
      </c>
      <c r="C4" s="76">
        <v>3.56</v>
      </c>
      <c r="D4" s="54">
        <f t="shared" si="0"/>
        <v>1.0100000000000002</v>
      </c>
      <c r="E4" s="77">
        <f t="shared" si="0"/>
        <v>-0.69000000000000083</v>
      </c>
      <c r="F4" s="76"/>
      <c r="G4" s="76"/>
    </row>
    <row r="5" spans="1:7">
      <c r="A5" s="79">
        <v>3</v>
      </c>
      <c r="B5" s="76">
        <v>1.9</v>
      </c>
      <c r="C5" s="76">
        <v>4.57</v>
      </c>
      <c r="D5" s="77">
        <f t="shared" si="0"/>
        <v>0.3199999999999994</v>
      </c>
      <c r="E5" s="76"/>
      <c r="F5" s="76"/>
      <c r="G5" s="76"/>
    </row>
    <row r="6" spans="1:7">
      <c r="A6" s="79">
        <v>4</v>
      </c>
      <c r="B6" s="76">
        <v>2.5</v>
      </c>
      <c r="C6" s="78">
        <v>4.8899999999999997</v>
      </c>
      <c r="D6" s="76"/>
      <c r="E6" s="76"/>
      <c r="F6" s="76"/>
      <c r="G6" s="76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1:R21"/>
  <sheetViews>
    <sheetView zoomScale="70" zoomScaleNormal="70" workbookViewId="0">
      <selection activeCell="R17" sqref="R17"/>
    </sheetView>
  </sheetViews>
  <sheetFormatPr defaultRowHeight="15"/>
  <cols>
    <col min="13" max="13" width="10" customWidth="1"/>
    <col min="14" max="14" width="10.140625" bestFit="1" customWidth="1"/>
    <col min="18" max="18" width="9.5703125" bestFit="1" customWidth="1"/>
  </cols>
  <sheetData>
    <row r="1" spans="1:18">
      <c r="A1" s="86" t="s">
        <v>79</v>
      </c>
      <c r="B1" s="86" t="s">
        <v>80</v>
      </c>
      <c r="C1" s="86" t="s">
        <v>81</v>
      </c>
      <c r="D1" s="86" t="s">
        <v>65</v>
      </c>
      <c r="E1" s="86" t="s">
        <v>82</v>
      </c>
      <c r="F1" s="86" t="s">
        <v>83</v>
      </c>
      <c r="G1" s="86" t="s">
        <v>84</v>
      </c>
      <c r="H1" s="86" t="s">
        <v>85</v>
      </c>
      <c r="I1" s="86" t="s">
        <v>86</v>
      </c>
      <c r="J1" s="86" t="s">
        <v>87</v>
      </c>
      <c r="K1" s="86" t="s">
        <v>88</v>
      </c>
      <c r="L1" s="86" t="s">
        <v>89</v>
      </c>
      <c r="M1" s="86" t="s">
        <v>90</v>
      </c>
      <c r="N1" s="86" t="s">
        <v>91</v>
      </c>
      <c r="P1" s="91" t="s">
        <v>77</v>
      </c>
      <c r="Q1" s="85">
        <f>(Q3-Q2)/Q4</f>
        <v>7.9999999999999988E-2</v>
      </c>
    </row>
    <row r="2" spans="1:18">
      <c r="A2" s="83">
        <v>0</v>
      </c>
      <c r="B2" s="83">
        <f>Q2</f>
        <v>0.6</v>
      </c>
      <c r="C2" s="83">
        <f>B2+($Q$1/2)</f>
        <v>0.64</v>
      </c>
      <c r="D2" s="48">
        <f>(SQRT((B2^2)+5))/(2*B2+SQRT((B2^2)+0.5))</f>
        <v>1.088280952790537</v>
      </c>
      <c r="E2" s="48">
        <f>(SQRT((C2^2)+5))/(2*C2+SQRT((C2^2)+0.5))</f>
        <v>1.041242755368964</v>
      </c>
      <c r="F2" s="83">
        <v>1</v>
      </c>
      <c r="G2" s="83">
        <v>0</v>
      </c>
      <c r="H2" s="83">
        <v>0.5</v>
      </c>
      <c r="I2" s="87" t="s">
        <v>99</v>
      </c>
      <c r="J2" s="48">
        <f>F2*$D2</f>
        <v>1.088280952790537</v>
      </c>
      <c r="K2" s="48">
        <f t="shared" ref="K2:K12" si="0">G2*$D2</f>
        <v>0</v>
      </c>
      <c r="L2" s="48">
        <f>E2*F2</f>
        <v>1.041242755368964</v>
      </c>
      <c r="M2" s="48">
        <f>$D2*$H2</f>
        <v>0.54414047639526852</v>
      </c>
      <c r="N2" s="48">
        <f>D2*(1/3)</f>
        <v>0.36276031759684568</v>
      </c>
      <c r="P2" s="91" t="s">
        <v>78</v>
      </c>
      <c r="Q2" s="85">
        <v>0.6</v>
      </c>
    </row>
    <row r="3" spans="1:18">
      <c r="A3" s="83">
        <v>1</v>
      </c>
      <c r="B3" s="83">
        <f>B2+$Q$1</f>
        <v>0.67999999999999994</v>
      </c>
      <c r="C3" s="83">
        <f t="shared" ref="C3:C12" si="1">B3+($Q$1/2)</f>
        <v>0.72</v>
      </c>
      <c r="D3" s="48">
        <f t="shared" ref="D3:D12" si="2">(SQRT((B3^2)+5))/(2*B3+SQRT((B3^2)+0.5))</f>
        <v>0.99835879556906792</v>
      </c>
      <c r="E3" s="48">
        <f t="shared" ref="E3:E12" si="3">(SQRT((C3^2)+5))/(2*C3+SQRT((C3^2)+0.5))</f>
        <v>0.95915716149484509</v>
      </c>
      <c r="F3" s="83">
        <v>1</v>
      </c>
      <c r="G3" s="83">
        <v>1</v>
      </c>
      <c r="H3" s="83">
        <v>1</v>
      </c>
      <c r="I3" s="87" t="s">
        <v>100</v>
      </c>
      <c r="J3" s="48">
        <f t="shared" ref="J3:J12" si="4">F3*$D3</f>
        <v>0.99835879556906792</v>
      </c>
      <c r="K3" s="48">
        <f t="shared" si="0"/>
        <v>0.99835879556906792</v>
      </c>
      <c r="L3" s="48">
        <f t="shared" ref="L3:L12" si="5">E3*F3</f>
        <v>0.95915716149484509</v>
      </c>
      <c r="M3" s="48">
        <f t="shared" ref="M3:M12" si="6">$D3*$H3</f>
        <v>0.99835879556906792</v>
      </c>
      <c r="N3" s="48">
        <f>D3*4/3</f>
        <v>1.3311450607587572</v>
      </c>
      <c r="P3" s="91" t="s">
        <v>76</v>
      </c>
      <c r="Q3" s="85">
        <v>1.4</v>
      </c>
    </row>
    <row r="4" spans="1:18">
      <c r="A4" s="83">
        <v>2</v>
      </c>
      <c r="B4" s="83">
        <f t="shared" ref="B4:B12" si="7">B3+$Q$1</f>
        <v>0.7599999999999999</v>
      </c>
      <c r="C4" s="83">
        <f t="shared" si="1"/>
        <v>0.79999999999999993</v>
      </c>
      <c r="D4" s="48">
        <f t="shared" si="2"/>
        <v>0.92323101400709207</v>
      </c>
      <c r="E4" s="48">
        <f t="shared" si="3"/>
        <v>0.89022808081569083</v>
      </c>
      <c r="F4" s="83">
        <v>1</v>
      </c>
      <c r="G4" s="83">
        <v>1</v>
      </c>
      <c r="H4" s="83">
        <v>1</v>
      </c>
      <c r="I4" s="87" t="s">
        <v>101</v>
      </c>
      <c r="J4" s="48">
        <f t="shared" si="4"/>
        <v>0.92323101400709207</v>
      </c>
      <c r="K4" s="48">
        <f t="shared" si="0"/>
        <v>0.92323101400709207</v>
      </c>
      <c r="L4" s="48">
        <f t="shared" si="5"/>
        <v>0.89022808081569083</v>
      </c>
      <c r="M4" s="48">
        <f t="shared" si="6"/>
        <v>0.92323101400709207</v>
      </c>
      <c r="N4" s="48">
        <f>D4*2/3</f>
        <v>0.61548734267139471</v>
      </c>
      <c r="P4" s="91" t="s">
        <v>75</v>
      </c>
      <c r="Q4" s="85">
        <v>10</v>
      </c>
    </row>
    <row r="5" spans="1:18">
      <c r="A5" s="83">
        <v>3</v>
      </c>
      <c r="B5" s="83">
        <f t="shared" si="7"/>
        <v>0.83999999999999986</v>
      </c>
      <c r="C5" s="83">
        <f t="shared" si="1"/>
        <v>0.87999999999999989</v>
      </c>
      <c r="D5" s="48">
        <f t="shared" si="2"/>
        <v>0.85984209736917794</v>
      </c>
      <c r="E5" s="48">
        <f t="shared" si="3"/>
        <v>0.8318057845332717</v>
      </c>
      <c r="F5" s="83">
        <v>1</v>
      </c>
      <c r="G5" s="83">
        <v>1</v>
      </c>
      <c r="H5" s="83">
        <v>1</v>
      </c>
      <c r="I5" s="87" t="s">
        <v>100</v>
      </c>
      <c r="J5" s="48">
        <f t="shared" si="4"/>
        <v>0.85984209736917794</v>
      </c>
      <c r="K5" s="48">
        <f t="shared" si="0"/>
        <v>0.85984209736917794</v>
      </c>
      <c r="L5" s="48">
        <f t="shared" si="5"/>
        <v>0.8318057845332717</v>
      </c>
      <c r="M5" s="48">
        <f t="shared" si="6"/>
        <v>0.85984209736917794</v>
      </c>
      <c r="N5" s="48">
        <f>D5*4/3</f>
        <v>1.1464561298255707</v>
      </c>
    </row>
    <row r="6" spans="1:18">
      <c r="A6" s="83">
        <v>4</v>
      </c>
      <c r="B6" s="83">
        <f t="shared" si="7"/>
        <v>0.91999999999999982</v>
      </c>
      <c r="C6" s="83">
        <f t="shared" si="1"/>
        <v>0.95999999999999985</v>
      </c>
      <c r="D6" s="48">
        <f t="shared" si="2"/>
        <v>0.8058850504826367</v>
      </c>
      <c r="E6" s="48">
        <f t="shared" si="3"/>
        <v>0.78187417582194352</v>
      </c>
      <c r="F6" s="83">
        <v>1</v>
      </c>
      <c r="G6" s="83">
        <v>1</v>
      </c>
      <c r="H6" s="83">
        <v>1</v>
      </c>
      <c r="I6" s="87" t="s">
        <v>101</v>
      </c>
      <c r="J6" s="48">
        <f t="shared" si="4"/>
        <v>0.8058850504826367</v>
      </c>
      <c r="K6" s="48">
        <f t="shared" si="0"/>
        <v>0.8058850504826367</v>
      </c>
      <c r="L6" s="48">
        <f t="shared" si="5"/>
        <v>0.78187417582194352</v>
      </c>
      <c r="M6" s="48">
        <f t="shared" si="6"/>
        <v>0.8058850504826367</v>
      </c>
      <c r="N6" s="48">
        <f>D6*2/3</f>
        <v>0.53725670032175776</v>
      </c>
    </row>
    <row r="7" spans="1:18">
      <c r="A7" s="83">
        <v>5</v>
      </c>
      <c r="B7" s="83">
        <f t="shared" si="7"/>
        <v>0.99999999999999978</v>
      </c>
      <c r="C7" s="83">
        <f t="shared" si="1"/>
        <v>1.0399999999999998</v>
      </c>
      <c r="D7" s="48">
        <f t="shared" si="2"/>
        <v>0.75959179422654255</v>
      </c>
      <c r="E7" s="48">
        <f t="shared" si="3"/>
        <v>0.73887752101523951</v>
      </c>
      <c r="F7" s="83">
        <v>1</v>
      </c>
      <c r="G7" s="83">
        <v>1</v>
      </c>
      <c r="H7" s="83">
        <v>1</v>
      </c>
      <c r="I7" s="87" t="s">
        <v>100</v>
      </c>
      <c r="J7" s="48">
        <f t="shared" si="4"/>
        <v>0.75959179422654255</v>
      </c>
      <c r="K7" s="48">
        <f t="shared" si="0"/>
        <v>0.75959179422654255</v>
      </c>
      <c r="L7" s="48">
        <f t="shared" si="5"/>
        <v>0.73887752101523951</v>
      </c>
      <c r="M7" s="48">
        <f t="shared" si="6"/>
        <v>0.75959179422654255</v>
      </c>
      <c r="N7" s="48">
        <f>D7*4/3</f>
        <v>1.0127890589687234</v>
      </c>
      <c r="P7" t="s">
        <v>94</v>
      </c>
      <c r="R7" s="84">
        <v>0.62983999999999996</v>
      </c>
    </row>
    <row r="8" spans="1:18">
      <c r="A8" s="83">
        <v>6</v>
      </c>
      <c r="B8" s="83">
        <f t="shared" si="7"/>
        <v>1.0799999999999998</v>
      </c>
      <c r="C8" s="83">
        <f t="shared" si="1"/>
        <v>1.1199999999999999</v>
      </c>
      <c r="D8" s="48">
        <f t="shared" si="2"/>
        <v>0.71958911262626779</v>
      </c>
      <c r="E8" s="48">
        <f t="shared" si="3"/>
        <v>0.70160006348578929</v>
      </c>
      <c r="F8" s="83">
        <v>1</v>
      </c>
      <c r="G8" s="83">
        <v>1</v>
      </c>
      <c r="H8" s="83">
        <v>1</v>
      </c>
      <c r="I8" s="87" t="s">
        <v>101</v>
      </c>
      <c r="J8" s="48">
        <f t="shared" si="4"/>
        <v>0.71958911262626779</v>
      </c>
      <c r="K8" s="48">
        <f t="shared" si="0"/>
        <v>0.71958911262626779</v>
      </c>
      <c r="L8" s="48">
        <f t="shared" si="5"/>
        <v>0.70160006348578929</v>
      </c>
      <c r="M8" s="48">
        <f t="shared" si="6"/>
        <v>0.71958911262626779</v>
      </c>
      <c r="N8" s="48">
        <f>D8*2/3</f>
        <v>0.47972607508417853</v>
      </c>
    </row>
    <row r="9" spans="1:18">
      <c r="A9" s="83">
        <v>7</v>
      </c>
      <c r="B9" s="83">
        <f t="shared" si="7"/>
        <v>1.1599999999999999</v>
      </c>
      <c r="C9" s="83">
        <f t="shared" si="1"/>
        <v>1.2</v>
      </c>
      <c r="D9" s="48">
        <f t="shared" si="2"/>
        <v>0.68479756503194344</v>
      </c>
      <c r="E9" s="48">
        <f t="shared" si="3"/>
        <v>0.66908076598036481</v>
      </c>
      <c r="F9" s="83">
        <v>1</v>
      </c>
      <c r="G9" s="83">
        <v>1</v>
      </c>
      <c r="H9" s="83">
        <v>1</v>
      </c>
      <c r="I9" s="87" t="s">
        <v>100</v>
      </c>
      <c r="J9" s="48">
        <f t="shared" si="4"/>
        <v>0.68479756503194344</v>
      </c>
      <c r="K9" s="48">
        <f t="shared" si="0"/>
        <v>0.68479756503194344</v>
      </c>
      <c r="L9" s="48">
        <f t="shared" si="5"/>
        <v>0.66908076598036481</v>
      </c>
      <c r="M9" s="48">
        <f t="shared" si="6"/>
        <v>0.68479756503194344</v>
      </c>
      <c r="N9" s="48">
        <f>D9*4/3</f>
        <v>0.91306342004259122</v>
      </c>
    </row>
    <row r="10" spans="1:18">
      <c r="A10" s="83">
        <v>8</v>
      </c>
      <c r="B10" s="83">
        <f t="shared" si="7"/>
        <v>1.24</v>
      </c>
      <c r="C10" s="83">
        <f t="shared" si="1"/>
        <v>1.28</v>
      </c>
      <c r="D10" s="48">
        <f t="shared" si="2"/>
        <v>0.65435928423249645</v>
      </c>
      <c r="E10" s="48">
        <f t="shared" si="3"/>
        <v>0.64055192983169029</v>
      </c>
      <c r="F10" s="83">
        <v>1</v>
      </c>
      <c r="G10" s="83">
        <v>1</v>
      </c>
      <c r="H10" s="83">
        <v>1</v>
      </c>
      <c r="I10" s="87" t="s">
        <v>101</v>
      </c>
      <c r="J10" s="48">
        <f t="shared" si="4"/>
        <v>0.65435928423249645</v>
      </c>
      <c r="K10" s="48">
        <f t="shared" si="0"/>
        <v>0.65435928423249645</v>
      </c>
      <c r="L10" s="48">
        <f t="shared" si="5"/>
        <v>0.64055192983169029</v>
      </c>
      <c r="M10" s="48">
        <f t="shared" si="6"/>
        <v>0.65435928423249645</v>
      </c>
      <c r="N10" s="48">
        <f>D10*2/3</f>
        <v>0.43623952282166428</v>
      </c>
      <c r="Q10" s="92" t="s">
        <v>107</v>
      </c>
      <c r="R10" s="89">
        <f>ABS(J16-R7)</f>
        <v>1.9881701753498682E-2</v>
      </c>
    </row>
    <row r="11" spans="1:18">
      <c r="A11" s="83">
        <v>9</v>
      </c>
      <c r="B11" s="83">
        <f t="shared" si="7"/>
        <v>1.32</v>
      </c>
      <c r="C11" s="83">
        <f t="shared" si="1"/>
        <v>1.36</v>
      </c>
      <c r="D11" s="48">
        <f t="shared" si="2"/>
        <v>0.62758560558297216</v>
      </c>
      <c r="E11" s="48">
        <f t="shared" si="3"/>
        <v>0.61539435776154672</v>
      </c>
      <c r="F11" s="83">
        <v>1</v>
      </c>
      <c r="G11" s="83">
        <v>1</v>
      </c>
      <c r="H11" s="83">
        <v>1</v>
      </c>
      <c r="I11" s="87" t="s">
        <v>100</v>
      </c>
      <c r="J11" s="48">
        <f t="shared" si="4"/>
        <v>0.62758560558297216</v>
      </c>
      <c r="K11" s="48">
        <f t="shared" si="0"/>
        <v>0.62758560558297216</v>
      </c>
      <c r="L11" s="48">
        <f t="shared" si="5"/>
        <v>0.61539435776154672</v>
      </c>
      <c r="M11" s="48">
        <f t="shared" si="6"/>
        <v>0.62758560558297216</v>
      </c>
      <c r="N11" s="48">
        <f>D11*4/3</f>
        <v>0.83678080744396288</v>
      </c>
      <c r="Q11" s="92" t="s">
        <v>108</v>
      </c>
      <c r="R11" s="89">
        <f>ABS(K16-R7)</f>
        <v>1.8867290146519999E-2</v>
      </c>
    </row>
    <row r="12" spans="1:18">
      <c r="A12" s="83">
        <v>10</v>
      </c>
      <c r="B12" s="83">
        <f t="shared" si="7"/>
        <v>1.4000000000000001</v>
      </c>
      <c r="C12" s="83">
        <f t="shared" si="1"/>
        <v>1.4400000000000002</v>
      </c>
      <c r="D12" s="48">
        <f t="shared" si="2"/>
        <v>0.60391855404030381</v>
      </c>
      <c r="E12" s="48">
        <f t="shared" si="3"/>
        <v>0.59310416959637446</v>
      </c>
      <c r="F12" s="83">
        <v>0</v>
      </c>
      <c r="G12" s="83">
        <v>1</v>
      </c>
      <c r="H12" s="83">
        <v>0.5</v>
      </c>
      <c r="I12" s="87" t="s">
        <v>99</v>
      </c>
      <c r="J12" s="48">
        <f t="shared" si="4"/>
        <v>0</v>
      </c>
      <c r="K12" s="48">
        <f t="shared" si="0"/>
        <v>0.60391855404030381</v>
      </c>
      <c r="L12" s="48">
        <f t="shared" si="5"/>
        <v>0</v>
      </c>
      <c r="M12" s="48">
        <f t="shared" si="6"/>
        <v>0.30195927702015191</v>
      </c>
      <c r="N12" s="48">
        <f>D12*1/3</f>
        <v>0.20130618468010128</v>
      </c>
      <c r="Q12" s="92" t="s">
        <v>109</v>
      </c>
      <c r="R12" s="89">
        <f>ABS(L16-R7)</f>
        <v>2.5499231125236665E-4</v>
      </c>
    </row>
    <row r="13" spans="1:18">
      <c r="A13" s="58"/>
      <c r="B13" s="58"/>
      <c r="C13" s="58"/>
      <c r="D13" s="58"/>
      <c r="E13" s="58"/>
      <c r="F13" s="58"/>
      <c r="G13" s="58"/>
      <c r="H13" s="58"/>
      <c r="I13" s="94" t="s">
        <v>92</v>
      </c>
      <c r="J13" s="88">
        <f>SUM(J2:J12)</f>
        <v>8.1215212719187342</v>
      </c>
      <c r="K13" s="88">
        <f t="shared" ref="K13:N13" si="8">SUM(K2:K12)</f>
        <v>7.6371588731685005</v>
      </c>
      <c r="L13" s="88">
        <f t="shared" si="8"/>
        <v>7.8698125961093455</v>
      </c>
      <c r="M13" s="88">
        <f t="shared" si="8"/>
        <v>7.8793400725436173</v>
      </c>
      <c r="N13" s="88">
        <f t="shared" si="8"/>
        <v>7.8730106202155472</v>
      </c>
      <c r="Q13" s="92" t="s">
        <v>110</v>
      </c>
      <c r="R13" s="89">
        <f>ABS(M16-R7)</f>
        <v>5.0720580348928568E-4</v>
      </c>
    </row>
    <row r="14" spans="1:18">
      <c r="Q14" s="92" t="s">
        <v>111</v>
      </c>
      <c r="R14" s="89">
        <f>ABS(N16-R7)</f>
        <v>8.4961724367005331E-7</v>
      </c>
    </row>
    <row r="15" spans="1:18">
      <c r="J15" s="19" t="s">
        <v>93</v>
      </c>
      <c r="K15" s="19" t="s">
        <v>95</v>
      </c>
      <c r="L15" s="19" t="s">
        <v>96</v>
      </c>
      <c r="M15" s="19" t="s">
        <v>97</v>
      </c>
      <c r="N15" s="19" t="s">
        <v>98</v>
      </c>
    </row>
    <row r="16" spans="1:18">
      <c r="J16" s="93">
        <f>J13*$Q$1</f>
        <v>0.64972170175349864</v>
      </c>
      <c r="K16" s="93">
        <f t="shared" ref="K16:N16" si="9">K13*$Q$1</f>
        <v>0.61097270985347996</v>
      </c>
      <c r="L16" s="93">
        <f t="shared" si="9"/>
        <v>0.62958500768874759</v>
      </c>
      <c r="M16" s="93">
        <f t="shared" si="9"/>
        <v>0.63034720580348924</v>
      </c>
      <c r="N16" s="93">
        <f t="shared" si="9"/>
        <v>0.62984084961724363</v>
      </c>
    </row>
    <row r="17" spans="17:18">
      <c r="Q17" s="92" t="s">
        <v>102</v>
      </c>
      <c r="R17" s="90">
        <f>R10/$R$7</f>
        <v>3.1566273582971364E-2</v>
      </c>
    </row>
    <row r="18" spans="17:18">
      <c r="Q18" s="92" t="s">
        <v>103</v>
      </c>
      <c r="R18" s="90">
        <f t="shared" ref="R18:R21" si="10">R11/$R$7</f>
        <v>2.9955687391273977E-2</v>
      </c>
    </row>
    <row r="19" spans="17:18">
      <c r="Q19" s="92" t="s">
        <v>104</v>
      </c>
      <c r="R19" s="90">
        <f t="shared" si="10"/>
        <v>4.048525200882235E-4</v>
      </c>
    </row>
    <row r="20" spans="17:18">
      <c r="Q20" s="92" t="s">
        <v>105</v>
      </c>
      <c r="R20" s="90">
        <f t="shared" si="10"/>
        <v>8.0529309584860553E-4</v>
      </c>
    </row>
    <row r="21" spans="17:18">
      <c r="Q21" s="92" t="s">
        <v>106</v>
      </c>
      <c r="R21" s="90">
        <f t="shared" si="10"/>
        <v>1.3489413877652314E-6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1:N26"/>
  <sheetViews>
    <sheetView topLeftCell="A4" zoomScale="70" zoomScaleNormal="70" workbookViewId="0">
      <selection activeCell="K12" sqref="K12"/>
    </sheetView>
  </sheetViews>
  <sheetFormatPr defaultRowHeight="15"/>
  <cols>
    <col min="6" max="6" width="14.28515625" customWidth="1"/>
    <col min="11" max="11" width="9.5703125" bestFit="1" customWidth="1"/>
    <col min="13" max="13" width="10" customWidth="1"/>
    <col min="14" max="14" width="10.140625" bestFit="1" customWidth="1"/>
    <col min="18" max="18" width="11" customWidth="1"/>
  </cols>
  <sheetData>
    <row r="1" spans="1:14">
      <c r="A1" s="86" t="s">
        <v>79</v>
      </c>
      <c r="B1" s="86" t="s">
        <v>80</v>
      </c>
      <c r="C1" s="86" t="s">
        <v>65</v>
      </c>
      <c r="D1" s="86" t="s">
        <v>83</v>
      </c>
      <c r="E1" s="86" t="s">
        <v>86</v>
      </c>
      <c r="F1" s="86" t="s">
        <v>87</v>
      </c>
      <c r="G1" s="86" t="s">
        <v>91</v>
      </c>
      <c r="H1" s="95"/>
      <c r="I1" s="91" t="s">
        <v>77</v>
      </c>
      <c r="J1" s="85">
        <f>(J3-J2)/J4</f>
        <v>3.9999999999999994E-2</v>
      </c>
      <c r="K1" s="95"/>
      <c r="L1" s="95"/>
      <c r="M1" s="95"/>
      <c r="N1" s="95"/>
    </row>
    <row r="2" spans="1:14">
      <c r="A2" s="83">
        <v>0</v>
      </c>
      <c r="B2" s="83">
        <f>J2</f>
        <v>0.6</v>
      </c>
      <c r="C2" s="48">
        <f t="shared" ref="C2:C22" si="0">(SQRT((B2^2)+5))/(2*B2+SQRT((B2^2)+0.5))</f>
        <v>1.088280952790537</v>
      </c>
      <c r="D2" s="83">
        <v>1</v>
      </c>
      <c r="E2" s="87" t="s">
        <v>99</v>
      </c>
      <c r="F2" s="48">
        <f>D2*$C2</f>
        <v>1.088280952790537</v>
      </c>
      <c r="G2" s="48">
        <f>C2*(1/3)</f>
        <v>0.36276031759684568</v>
      </c>
      <c r="H2" s="51"/>
      <c r="I2" s="91" t="s">
        <v>78</v>
      </c>
      <c r="J2" s="85">
        <v>0.6</v>
      </c>
      <c r="K2" s="68"/>
      <c r="L2" s="68"/>
      <c r="M2" s="68"/>
      <c r="N2" s="95"/>
    </row>
    <row r="3" spans="1:14">
      <c r="A3" s="83">
        <v>1</v>
      </c>
      <c r="B3" s="83">
        <f t="shared" ref="B3:B22" si="1">B2+$J$1</f>
        <v>0.64</v>
      </c>
      <c r="C3" s="48">
        <f t="shared" si="0"/>
        <v>1.041242755368964</v>
      </c>
      <c r="D3" s="83">
        <v>1</v>
      </c>
      <c r="E3" s="87" t="s">
        <v>100</v>
      </c>
      <c r="F3" s="48">
        <f t="shared" ref="F3:F22" si="2">D3*$C3</f>
        <v>1.041242755368964</v>
      </c>
      <c r="G3" s="48">
        <f>C3*4/3</f>
        <v>1.3883236738252853</v>
      </c>
      <c r="H3" s="51"/>
      <c r="I3" s="91" t="s">
        <v>76</v>
      </c>
      <c r="J3" s="85">
        <v>1.4</v>
      </c>
      <c r="K3" s="68"/>
      <c r="L3" s="68"/>
      <c r="M3" s="68"/>
      <c r="N3" s="95"/>
    </row>
    <row r="4" spans="1:14">
      <c r="A4" s="83">
        <v>2</v>
      </c>
      <c r="B4" s="83">
        <f t="shared" si="1"/>
        <v>0.68</v>
      </c>
      <c r="C4" s="48">
        <f t="shared" si="0"/>
        <v>0.99835879556906792</v>
      </c>
      <c r="D4" s="83">
        <v>1</v>
      </c>
      <c r="E4" s="87" t="s">
        <v>101</v>
      </c>
      <c r="F4" s="48">
        <f t="shared" si="2"/>
        <v>0.99835879556906792</v>
      </c>
      <c r="G4" s="48">
        <f>C4*2/3</f>
        <v>0.66557253037937858</v>
      </c>
      <c r="H4" s="51"/>
      <c r="I4" s="91" t="s">
        <v>75</v>
      </c>
      <c r="J4" s="85">
        <v>20</v>
      </c>
      <c r="K4" s="68"/>
      <c r="L4" s="68"/>
      <c r="M4" s="68"/>
      <c r="N4" s="95"/>
    </row>
    <row r="5" spans="1:14">
      <c r="A5" s="83">
        <v>3</v>
      </c>
      <c r="B5" s="83">
        <f t="shared" si="1"/>
        <v>0.72000000000000008</v>
      </c>
      <c r="C5" s="48">
        <f t="shared" si="0"/>
        <v>0.95915716149484498</v>
      </c>
      <c r="D5" s="83">
        <v>1</v>
      </c>
      <c r="E5" s="87" t="s">
        <v>100</v>
      </c>
      <c r="F5" s="48">
        <f t="shared" si="2"/>
        <v>0.95915716149484498</v>
      </c>
      <c r="G5" s="48">
        <f>C5*4/3</f>
        <v>1.2788762153264599</v>
      </c>
      <c r="H5" s="51"/>
      <c r="I5" s="95"/>
      <c r="J5" s="95"/>
      <c r="K5" s="68"/>
      <c r="L5" s="68"/>
      <c r="M5" s="68"/>
      <c r="N5" s="95"/>
    </row>
    <row r="6" spans="1:14">
      <c r="A6" s="83">
        <v>4</v>
      </c>
      <c r="B6" s="83">
        <f t="shared" si="1"/>
        <v>0.76000000000000012</v>
      </c>
      <c r="C6" s="48">
        <f t="shared" si="0"/>
        <v>0.92323101400709173</v>
      </c>
      <c r="D6" s="83">
        <v>1</v>
      </c>
      <c r="E6" s="87" t="s">
        <v>101</v>
      </c>
      <c r="F6" s="48">
        <f t="shared" si="2"/>
        <v>0.92323101400709173</v>
      </c>
      <c r="G6" s="48">
        <f>C6*2/3</f>
        <v>0.61548734267139449</v>
      </c>
      <c r="H6" s="51"/>
      <c r="I6" t="s">
        <v>94</v>
      </c>
      <c r="K6" s="84">
        <v>0.62983999999999996</v>
      </c>
      <c r="L6" s="68"/>
      <c r="M6" s="68"/>
      <c r="N6" s="95"/>
    </row>
    <row r="7" spans="1:14">
      <c r="A7" s="83">
        <v>5</v>
      </c>
      <c r="B7" s="83">
        <f t="shared" si="1"/>
        <v>0.80000000000000016</v>
      </c>
      <c r="C7" s="48">
        <f t="shared" si="0"/>
        <v>0.89022808081569049</v>
      </c>
      <c r="D7" s="83">
        <v>1</v>
      </c>
      <c r="E7" s="87" t="s">
        <v>100</v>
      </c>
      <c r="F7" s="48">
        <f t="shared" si="2"/>
        <v>0.89022808081569049</v>
      </c>
      <c r="G7" s="48">
        <f>C7*4/3</f>
        <v>1.1869707744209206</v>
      </c>
      <c r="H7" s="51"/>
      <c r="L7" s="68"/>
      <c r="M7" s="68"/>
      <c r="N7" s="95"/>
    </row>
    <row r="8" spans="1:14">
      <c r="A8" s="83">
        <v>6</v>
      </c>
      <c r="B8" s="83">
        <f t="shared" si="1"/>
        <v>0.84000000000000019</v>
      </c>
      <c r="C8" s="48">
        <f t="shared" si="0"/>
        <v>0.85984209736917783</v>
      </c>
      <c r="D8" s="83">
        <v>1</v>
      </c>
      <c r="E8" s="87" t="s">
        <v>101</v>
      </c>
      <c r="F8" s="48">
        <f t="shared" si="2"/>
        <v>0.85984209736917783</v>
      </c>
      <c r="G8" s="48">
        <f>C8*2/3</f>
        <v>0.57322806491278522</v>
      </c>
      <c r="H8" s="51"/>
      <c r="L8" s="68"/>
      <c r="M8" s="68"/>
      <c r="N8" s="95"/>
    </row>
    <row r="9" spans="1:14">
      <c r="A9" s="83">
        <v>7</v>
      </c>
      <c r="B9" s="83">
        <f t="shared" si="1"/>
        <v>0.88000000000000023</v>
      </c>
      <c r="C9" s="48">
        <f t="shared" si="0"/>
        <v>0.83180578453327159</v>
      </c>
      <c r="D9" s="83">
        <v>1</v>
      </c>
      <c r="E9" s="87" t="s">
        <v>100</v>
      </c>
      <c r="F9" s="48">
        <f t="shared" si="2"/>
        <v>0.83180578453327159</v>
      </c>
      <c r="G9" s="48">
        <f>C9*4/3</f>
        <v>1.1090743793776954</v>
      </c>
      <c r="H9" s="51"/>
      <c r="J9" s="92" t="s">
        <v>107</v>
      </c>
      <c r="K9" s="89">
        <f>ABS(F26-K6)</f>
        <v>9.813354721122991E-3</v>
      </c>
      <c r="L9" s="68"/>
      <c r="M9" s="68"/>
      <c r="N9" s="95"/>
    </row>
    <row r="10" spans="1:14">
      <c r="A10" s="83">
        <v>8</v>
      </c>
      <c r="B10" s="83">
        <f t="shared" si="1"/>
        <v>0.92000000000000026</v>
      </c>
      <c r="C10" s="48">
        <f t="shared" si="0"/>
        <v>0.80588505048263637</v>
      </c>
      <c r="D10" s="83">
        <v>1</v>
      </c>
      <c r="E10" s="87" t="s">
        <v>101</v>
      </c>
      <c r="F10" s="48">
        <f t="shared" si="2"/>
        <v>0.80588505048263637</v>
      </c>
      <c r="G10" s="48">
        <f>C10*2/3</f>
        <v>0.53725670032175754</v>
      </c>
      <c r="H10" s="51"/>
      <c r="J10" s="92" t="s">
        <v>111</v>
      </c>
      <c r="K10" s="89">
        <f>ABS(F27-K7)</f>
        <v>0</v>
      </c>
      <c r="L10" s="68"/>
      <c r="M10" s="68"/>
      <c r="N10" s="95"/>
    </row>
    <row r="11" spans="1:14">
      <c r="A11" s="83">
        <v>9</v>
      </c>
      <c r="B11" s="83">
        <f t="shared" si="1"/>
        <v>0.9600000000000003</v>
      </c>
      <c r="C11" s="48">
        <f t="shared" si="0"/>
        <v>0.78187417582194307</v>
      </c>
      <c r="D11" s="83">
        <v>1</v>
      </c>
      <c r="E11" s="87" t="s">
        <v>100</v>
      </c>
      <c r="F11" s="48">
        <f t="shared" si="2"/>
        <v>0.78187417582194307</v>
      </c>
      <c r="G11" s="48">
        <f>C11*4/3</f>
        <v>1.042498901095924</v>
      </c>
      <c r="H11" s="51"/>
      <c r="J11" s="98"/>
      <c r="K11" s="100"/>
      <c r="L11" s="68"/>
      <c r="M11" s="68"/>
      <c r="N11" s="95"/>
    </row>
    <row r="12" spans="1:14">
      <c r="A12" s="83">
        <v>10</v>
      </c>
      <c r="B12" s="83">
        <f t="shared" si="1"/>
        <v>1.0000000000000002</v>
      </c>
      <c r="C12" s="48">
        <f t="shared" si="0"/>
        <v>0.75959179422654233</v>
      </c>
      <c r="D12" s="83">
        <v>1</v>
      </c>
      <c r="E12" s="87" t="s">
        <v>101</v>
      </c>
      <c r="F12" s="48">
        <f t="shared" si="2"/>
        <v>0.75959179422654233</v>
      </c>
      <c r="G12" s="48">
        <f>C12*2/3</f>
        <v>0.50639452948436159</v>
      </c>
      <c r="H12" s="51"/>
      <c r="J12" s="92" t="s">
        <v>102</v>
      </c>
      <c r="K12" s="90">
        <f>K9/$K$6</f>
        <v>1.5580710531441305E-2</v>
      </c>
      <c r="L12" s="68"/>
      <c r="M12" s="68"/>
      <c r="N12" s="95"/>
    </row>
    <row r="13" spans="1:14">
      <c r="A13" s="83">
        <v>11</v>
      </c>
      <c r="B13" s="83">
        <f t="shared" si="1"/>
        <v>1.0400000000000003</v>
      </c>
      <c r="C13" s="48">
        <f t="shared" si="0"/>
        <v>0.7388775210152394</v>
      </c>
      <c r="D13" s="83">
        <v>1</v>
      </c>
      <c r="E13" s="87" t="s">
        <v>100</v>
      </c>
      <c r="F13" s="48">
        <f t="shared" si="2"/>
        <v>0.7388775210152394</v>
      </c>
      <c r="G13" s="48">
        <f>C13*4/3</f>
        <v>0.98517002802031917</v>
      </c>
      <c r="H13" s="51"/>
      <c r="J13" s="92" t="s">
        <v>106</v>
      </c>
      <c r="K13" s="90">
        <f>K10/$K$6</f>
        <v>0</v>
      </c>
      <c r="L13" s="68"/>
      <c r="M13" s="68"/>
      <c r="N13" s="95"/>
    </row>
    <row r="14" spans="1:14">
      <c r="A14" s="83">
        <v>12</v>
      </c>
      <c r="B14" s="83">
        <f t="shared" si="1"/>
        <v>1.0800000000000003</v>
      </c>
      <c r="C14" s="48">
        <f t="shared" si="0"/>
        <v>0.71958911262626757</v>
      </c>
      <c r="D14" s="83">
        <v>1</v>
      </c>
      <c r="E14" s="87" t="s">
        <v>101</v>
      </c>
      <c r="F14" s="48">
        <f t="shared" si="2"/>
        <v>0.71958911262626757</v>
      </c>
      <c r="G14" s="48">
        <f>C14*2/3</f>
        <v>0.47972607508417836</v>
      </c>
      <c r="H14" s="95"/>
      <c r="L14" s="68"/>
      <c r="M14" s="68"/>
      <c r="N14" s="95"/>
    </row>
    <row r="15" spans="1:14">
      <c r="A15" s="83">
        <v>13</v>
      </c>
      <c r="B15" s="83">
        <f t="shared" si="1"/>
        <v>1.1200000000000003</v>
      </c>
      <c r="C15" s="48">
        <f t="shared" si="0"/>
        <v>0.70160006348578918</v>
      </c>
      <c r="D15" s="83">
        <v>1</v>
      </c>
      <c r="E15" s="87" t="s">
        <v>100</v>
      </c>
      <c r="F15" s="48">
        <f t="shared" si="2"/>
        <v>0.70160006348578918</v>
      </c>
      <c r="G15" s="48">
        <f>C15*4/3</f>
        <v>0.93546675131438561</v>
      </c>
      <c r="H15" s="95"/>
      <c r="L15" s="68"/>
      <c r="M15" s="68"/>
      <c r="N15" s="95"/>
    </row>
    <row r="16" spans="1:14">
      <c r="A16" s="83">
        <v>14</v>
      </c>
      <c r="B16" s="83">
        <f t="shared" si="1"/>
        <v>1.1600000000000004</v>
      </c>
      <c r="C16" s="48">
        <f t="shared" si="0"/>
        <v>0.68479756503194311</v>
      </c>
      <c r="D16" s="83">
        <v>1</v>
      </c>
      <c r="E16" s="87" t="s">
        <v>101</v>
      </c>
      <c r="F16" s="48">
        <f t="shared" si="2"/>
        <v>0.68479756503194311</v>
      </c>
      <c r="G16" s="48">
        <f>C16*2/3</f>
        <v>0.45653171002129539</v>
      </c>
      <c r="H16" s="95"/>
      <c r="L16" s="68"/>
      <c r="M16" s="68"/>
      <c r="N16" s="95"/>
    </row>
    <row r="17" spans="1:14">
      <c r="A17" s="83">
        <v>15</v>
      </c>
      <c r="B17" s="83">
        <f t="shared" si="1"/>
        <v>1.2000000000000004</v>
      </c>
      <c r="C17" s="48">
        <f t="shared" si="0"/>
        <v>0.6690807659803647</v>
      </c>
      <c r="D17" s="83">
        <v>1</v>
      </c>
      <c r="E17" s="87" t="s">
        <v>100</v>
      </c>
      <c r="F17" s="48">
        <f t="shared" si="2"/>
        <v>0.6690807659803647</v>
      </c>
      <c r="G17" s="48">
        <f>C17*4/3</f>
        <v>0.89210768797381956</v>
      </c>
      <c r="H17" s="95"/>
      <c r="L17" s="68"/>
      <c r="M17" s="68"/>
      <c r="N17" s="95"/>
    </row>
    <row r="18" spans="1:14">
      <c r="A18" s="83">
        <v>16</v>
      </c>
      <c r="B18" s="83">
        <f t="shared" si="1"/>
        <v>1.2400000000000004</v>
      </c>
      <c r="C18" s="48">
        <f t="shared" si="0"/>
        <v>0.65435928423249634</v>
      </c>
      <c r="D18" s="83">
        <v>1</v>
      </c>
      <c r="E18" s="87" t="s">
        <v>101</v>
      </c>
      <c r="F18" s="48">
        <f t="shared" si="2"/>
        <v>0.65435928423249634</v>
      </c>
      <c r="G18" s="48">
        <f>C18*2/3</f>
        <v>0.43623952282166423</v>
      </c>
      <c r="H18" s="95"/>
      <c r="J18" s="98"/>
      <c r="K18" s="99"/>
      <c r="L18" s="68"/>
      <c r="M18" s="68"/>
      <c r="N18" s="95"/>
    </row>
    <row r="19" spans="1:14">
      <c r="A19" s="83">
        <v>17</v>
      </c>
      <c r="B19" s="83">
        <f t="shared" si="1"/>
        <v>1.2800000000000005</v>
      </c>
      <c r="C19" s="48">
        <f t="shared" si="0"/>
        <v>0.64055192983169007</v>
      </c>
      <c r="D19" s="83">
        <v>1</v>
      </c>
      <c r="E19" s="87" t="s">
        <v>100</v>
      </c>
      <c r="F19" s="48">
        <f t="shared" si="2"/>
        <v>0.64055192983169007</v>
      </c>
      <c r="G19" s="48">
        <f>C19*4/3</f>
        <v>0.8540692397755868</v>
      </c>
      <c r="H19" s="95"/>
      <c r="J19" s="98"/>
      <c r="K19" s="99"/>
      <c r="L19" s="68"/>
      <c r="M19" s="68"/>
      <c r="N19" s="95"/>
    </row>
    <row r="20" spans="1:14">
      <c r="A20" s="83">
        <v>18</v>
      </c>
      <c r="B20" s="83">
        <f t="shared" si="1"/>
        <v>1.3200000000000005</v>
      </c>
      <c r="C20" s="48">
        <f t="shared" si="0"/>
        <v>0.62758560558297216</v>
      </c>
      <c r="D20" s="83">
        <v>1</v>
      </c>
      <c r="E20" s="87" t="s">
        <v>101</v>
      </c>
      <c r="F20" s="48">
        <f t="shared" si="2"/>
        <v>0.62758560558297216</v>
      </c>
      <c r="G20" s="48">
        <f>C20*2/3</f>
        <v>0.41839040372198144</v>
      </c>
      <c r="H20" s="95"/>
      <c r="L20" s="68"/>
      <c r="M20" s="68"/>
      <c r="N20" s="95"/>
    </row>
    <row r="21" spans="1:14">
      <c r="A21" s="83">
        <v>19</v>
      </c>
      <c r="B21" s="83">
        <f t="shared" si="1"/>
        <v>1.3600000000000005</v>
      </c>
      <c r="C21" s="48">
        <f t="shared" si="0"/>
        <v>0.61539435776154661</v>
      </c>
      <c r="D21" s="83">
        <v>1</v>
      </c>
      <c r="E21" s="87" t="s">
        <v>100</v>
      </c>
      <c r="F21" s="48">
        <f t="shared" si="2"/>
        <v>0.61539435776154661</v>
      </c>
      <c r="G21" s="48">
        <f>C21*4/3</f>
        <v>0.82052581034872885</v>
      </c>
      <c r="H21" s="95"/>
      <c r="I21" s="95"/>
      <c r="J21" s="95"/>
      <c r="K21" s="68"/>
      <c r="L21" s="68"/>
      <c r="M21" s="68"/>
      <c r="N21" s="95"/>
    </row>
    <row r="22" spans="1:14">
      <c r="A22" s="83">
        <v>20</v>
      </c>
      <c r="B22" s="83">
        <f t="shared" si="1"/>
        <v>1.4000000000000006</v>
      </c>
      <c r="C22" s="48">
        <f t="shared" si="0"/>
        <v>0.6039185540403037</v>
      </c>
      <c r="D22" s="19">
        <v>0</v>
      </c>
      <c r="E22" s="48">
        <v>0.33333333333333331</v>
      </c>
      <c r="F22" s="48">
        <f t="shared" si="2"/>
        <v>0</v>
      </c>
      <c r="G22" s="48">
        <f>C22*1/3</f>
        <v>0.20130618468010122</v>
      </c>
      <c r="H22" s="95"/>
      <c r="I22" s="95"/>
      <c r="J22" s="95"/>
      <c r="K22" s="68"/>
      <c r="L22" s="68"/>
      <c r="M22" s="68"/>
      <c r="N22" s="95"/>
    </row>
    <row r="23" spans="1:14">
      <c r="E23" s="96" t="s">
        <v>112</v>
      </c>
      <c r="F23" s="97">
        <f>SUM(F2:F22)</f>
        <v>15.991333868028077</v>
      </c>
      <c r="G23" s="97">
        <f>SUM(G2:G22)</f>
        <v>15.745976843174866</v>
      </c>
      <c r="H23" s="95"/>
      <c r="I23" s="51"/>
      <c r="J23" s="68"/>
      <c r="K23" s="68"/>
      <c r="L23" s="68"/>
      <c r="M23" s="68"/>
      <c r="N23" s="68"/>
    </row>
    <row r="25" spans="1:14">
      <c r="F25" s="19" t="s">
        <v>93</v>
      </c>
      <c r="G25" s="19" t="s">
        <v>98</v>
      </c>
    </row>
    <row r="26" spans="1:14">
      <c r="F26" s="93">
        <f>F23*$J$1</f>
        <v>0.63965335472112295</v>
      </c>
      <c r="G26" s="93">
        <f>G23*$J$1</f>
        <v>0.62983907372699455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1:R21"/>
  <sheetViews>
    <sheetView topLeftCell="C1" zoomScale="85" zoomScaleNormal="85" workbookViewId="0">
      <selection activeCell="Q17" sqref="Q17"/>
    </sheetView>
  </sheetViews>
  <sheetFormatPr defaultRowHeight="15"/>
  <cols>
    <col min="13" max="13" width="10" customWidth="1"/>
    <col min="14" max="14" width="10.140625" bestFit="1" customWidth="1"/>
    <col min="18" max="18" width="9.5703125" bestFit="1" customWidth="1"/>
  </cols>
  <sheetData>
    <row r="1" spans="1:18">
      <c r="A1" s="86" t="s">
        <v>79</v>
      </c>
      <c r="B1" s="86" t="s">
        <v>80</v>
      </c>
      <c r="C1" s="86" t="s">
        <v>81</v>
      </c>
      <c r="D1" s="86" t="s">
        <v>65</v>
      </c>
      <c r="E1" s="86" t="s">
        <v>82</v>
      </c>
      <c r="F1" s="86" t="s">
        <v>83</v>
      </c>
      <c r="G1" s="86" t="s">
        <v>84</v>
      </c>
      <c r="H1" s="86" t="s">
        <v>85</v>
      </c>
      <c r="I1" s="86" t="s">
        <v>86</v>
      </c>
      <c r="J1" s="86" t="s">
        <v>87</v>
      </c>
      <c r="K1" s="86" t="s">
        <v>88</v>
      </c>
      <c r="L1" s="86" t="s">
        <v>89</v>
      </c>
      <c r="M1" s="86" t="s">
        <v>90</v>
      </c>
      <c r="N1" s="86" t="s">
        <v>91</v>
      </c>
      <c r="P1" s="91" t="s">
        <v>77</v>
      </c>
      <c r="Q1" s="85">
        <f>(Q3-Q2)/Q4</f>
        <v>0.15999999999999998</v>
      </c>
    </row>
    <row r="2" spans="1:18">
      <c r="A2" s="83">
        <v>0</v>
      </c>
      <c r="B2" s="83">
        <f>Q2</f>
        <v>1.2</v>
      </c>
      <c r="C2" s="83">
        <f>B2+($Q$1/2)</f>
        <v>1.28</v>
      </c>
      <c r="D2" s="48">
        <f>(SQRT(1.2*B2+0.7))/(1.4*B2+SQRT((1.3*B2^2)+0.5))</f>
        <v>0.45429033775625016</v>
      </c>
      <c r="E2" s="48">
        <f>(SQRT(1.2*C2+0.7))/(1.4*C2+SQRT((1.3*C2^2)+0.5))</f>
        <v>0.43803638897803504</v>
      </c>
      <c r="F2" s="83">
        <v>1</v>
      </c>
      <c r="G2" s="83">
        <v>0</v>
      </c>
      <c r="H2" s="83">
        <v>0.5</v>
      </c>
      <c r="I2" s="87" t="s">
        <v>99</v>
      </c>
      <c r="J2" s="48">
        <f>F2*$D2</f>
        <v>0.45429033775625016</v>
      </c>
      <c r="K2" s="48">
        <f t="shared" ref="K2:K12" si="0">G2*$D2</f>
        <v>0</v>
      </c>
      <c r="L2" s="48">
        <f>E2*F2</f>
        <v>0.43803638897803504</v>
      </c>
      <c r="M2" s="48">
        <f>$D2*$H2</f>
        <v>0.22714516887812508</v>
      </c>
      <c r="N2" s="48">
        <f>D2*(1/3)</f>
        <v>0.15143011258541672</v>
      </c>
      <c r="P2" s="91" t="s">
        <v>78</v>
      </c>
      <c r="Q2" s="85">
        <v>1.2</v>
      </c>
    </row>
    <row r="3" spans="1:18">
      <c r="A3" s="83">
        <v>1</v>
      </c>
      <c r="B3" s="83">
        <f>B2+$Q$1</f>
        <v>1.3599999999999999</v>
      </c>
      <c r="C3" s="83">
        <f t="shared" ref="C3:C12" si="1">B3+($Q$1/2)</f>
        <v>1.44</v>
      </c>
      <c r="D3" s="48">
        <f t="shared" ref="D3:E12" si="2">(SQRT(1.2*B3+0.7))/(1.4*B3+SQRT((1.3*B3^2)+0.5))</f>
        <v>0.42322102162304287</v>
      </c>
      <c r="E3" s="48">
        <f t="shared" si="2"/>
        <v>0.40966059687447287</v>
      </c>
      <c r="F3" s="83">
        <v>1</v>
      </c>
      <c r="G3" s="83">
        <v>1</v>
      </c>
      <c r="H3" s="83">
        <v>1</v>
      </c>
      <c r="I3" s="87" t="s">
        <v>100</v>
      </c>
      <c r="J3" s="48">
        <f t="shared" ref="J3:J12" si="3">F3*$D3</f>
        <v>0.42322102162304287</v>
      </c>
      <c r="K3" s="48">
        <f t="shared" si="0"/>
        <v>0.42322102162304287</v>
      </c>
      <c r="L3" s="48">
        <f t="shared" ref="L3:L12" si="4">E3*F3</f>
        <v>0.40966059687447287</v>
      </c>
      <c r="M3" s="48">
        <f t="shared" ref="M3:M12" si="5">$D3*$H3</f>
        <v>0.42322102162304287</v>
      </c>
      <c r="N3" s="48">
        <f>D3*4/3</f>
        <v>0.56429469549739053</v>
      </c>
      <c r="P3" s="91" t="s">
        <v>76</v>
      </c>
      <c r="Q3" s="85">
        <v>2.8</v>
      </c>
    </row>
    <row r="4" spans="1:18">
      <c r="A4" s="83">
        <v>2</v>
      </c>
      <c r="B4" s="83">
        <f t="shared" ref="B4:B12" si="6">B3+$Q$1</f>
        <v>1.5199999999999998</v>
      </c>
      <c r="C4" s="83">
        <f t="shared" si="1"/>
        <v>1.5999999999999999</v>
      </c>
      <c r="D4" s="48">
        <f t="shared" si="2"/>
        <v>0.39720045898841871</v>
      </c>
      <c r="E4" s="48">
        <f t="shared" si="2"/>
        <v>0.38570970681168842</v>
      </c>
      <c r="F4" s="83">
        <v>1</v>
      </c>
      <c r="G4" s="83">
        <v>1</v>
      </c>
      <c r="H4" s="83">
        <v>1</v>
      </c>
      <c r="I4" s="87" t="s">
        <v>101</v>
      </c>
      <c r="J4" s="48">
        <f t="shared" si="3"/>
        <v>0.39720045898841871</v>
      </c>
      <c r="K4" s="48">
        <f t="shared" si="0"/>
        <v>0.39720045898841871</v>
      </c>
      <c r="L4" s="48">
        <f t="shared" si="4"/>
        <v>0.38570970681168842</v>
      </c>
      <c r="M4" s="48">
        <f t="shared" si="5"/>
        <v>0.39720045898841871</v>
      </c>
      <c r="N4" s="48">
        <f>D4*2/3</f>
        <v>0.26480030599227916</v>
      </c>
      <c r="P4" s="91" t="s">
        <v>75</v>
      </c>
      <c r="Q4" s="85">
        <v>10</v>
      </c>
    </row>
    <row r="5" spans="1:18">
      <c r="A5" s="83">
        <v>3</v>
      </c>
      <c r="B5" s="83">
        <f t="shared" si="6"/>
        <v>1.6799999999999997</v>
      </c>
      <c r="C5" s="83">
        <f t="shared" si="1"/>
        <v>1.7599999999999998</v>
      </c>
      <c r="D5" s="48">
        <f t="shared" si="2"/>
        <v>0.37507698533967138</v>
      </c>
      <c r="E5" s="48">
        <f t="shared" si="2"/>
        <v>0.36520709367682191</v>
      </c>
      <c r="F5" s="83">
        <v>1</v>
      </c>
      <c r="G5" s="83">
        <v>1</v>
      </c>
      <c r="H5" s="83">
        <v>1</v>
      </c>
      <c r="I5" s="87" t="s">
        <v>100</v>
      </c>
      <c r="J5" s="48">
        <f t="shared" si="3"/>
        <v>0.37507698533967138</v>
      </c>
      <c r="K5" s="48">
        <f t="shared" si="0"/>
        <v>0.37507698533967138</v>
      </c>
      <c r="L5" s="48">
        <f t="shared" si="4"/>
        <v>0.36520709367682191</v>
      </c>
      <c r="M5" s="48">
        <f t="shared" si="5"/>
        <v>0.37507698533967138</v>
      </c>
      <c r="N5" s="48">
        <f>D5*4/3</f>
        <v>0.50010264711956187</v>
      </c>
    </row>
    <row r="6" spans="1:18">
      <c r="A6" s="83">
        <v>4</v>
      </c>
      <c r="B6" s="83">
        <f t="shared" si="6"/>
        <v>1.8399999999999996</v>
      </c>
      <c r="C6" s="83">
        <f t="shared" si="1"/>
        <v>1.9199999999999997</v>
      </c>
      <c r="D6" s="48">
        <f t="shared" si="2"/>
        <v>0.35601824386139419</v>
      </c>
      <c r="E6" s="48">
        <f t="shared" si="2"/>
        <v>0.34743983804022877</v>
      </c>
      <c r="F6" s="83">
        <v>1</v>
      </c>
      <c r="G6" s="83">
        <v>1</v>
      </c>
      <c r="H6" s="83">
        <v>1</v>
      </c>
      <c r="I6" s="87" t="s">
        <v>101</v>
      </c>
      <c r="J6" s="48">
        <f t="shared" si="3"/>
        <v>0.35601824386139419</v>
      </c>
      <c r="K6" s="48">
        <f t="shared" si="0"/>
        <v>0.35601824386139419</v>
      </c>
      <c r="L6" s="48">
        <f t="shared" si="4"/>
        <v>0.34743983804022877</v>
      </c>
      <c r="M6" s="48">
        <f t="shared" si="5"/>
        <v>0.35601824386139419</v>
      </c>
      <c r="N6" s="48">
        <f>D6*2/3</f>
        <v>0.23734549590759613</v>
      </c>
    </row>
    <row r="7" spans="1:18">
      <c r="A7" s="83">
        <v>5</v>
      </c>
      <c r="B7" s="83">
        <f t="shared" si="6"/>
        <v>1.9999999999999996</v>
      </c>
      <c r="C7" s="83">
        <f t="shared" si="1"/>
        <v>2.0799999999999996</v>
      </c>
      <c r="D7" s="48">
        <f t="shared" si="2"/>
        <v>0.33941065881672067</v>
      </c>
      <c r="E7" s="48">
        <f t="shared" si="2"/>
        <v>0.33187738964462021</v>
      </c>
      <c r="F7" s="83">
        <v>1</v>
      </c>
      <c r="G7" s="83">
        <v>1</v>
      </c>
      <c r="H7" s="83">
        <v>1</v>
      </c>
      <c r="I7" s="87" t="s">
        <v>100</v>
      </c>
      <c r="J7" s="48">
        <f t="shared" si="3"/>
        <v>0.33941065881672067</v>
      </c>
      <c r="K7" s="48">
        <f t="shared" si="0"/>
        <v>0.33941065881672067</v>
      </c>
      <c r="L7" s="48">
        <f t="shared" si="4"/>
        <v>0.33187738964462021</v>
      </c>
      <c r="M7" s="48">
        <f t="shared" si="5"/>
        <v>0.33941065881672067</v>
      </c>
      <c r="N7" s="48">
        <f>D7*4/3</f>
        <v>0.45254754508896089</v>
      </c>
      <c r="P7" t="s">
        <v>94</v>
      </c>
      <c r="R7" s="84">
        <v>0.55722000000000005</v>
      </c>
    </row>
    <row r="8" spans="1:18">
      <c r="A8" s="83">
        <v>6</v>
      </c>
      <c r="B8" s="83">
        <f t="shared" si="6"/>
        <v>2.1599999999999997</v>
      </c>
      <c r="C8" s="83">
        <f t="shared" si="1"/>
        <v>2.2399999999999998</v>
      </c>
      <c r="D8" s="48">
        <f t="shared" si="2"/>
        <v>0.32479339965944359</v>
      </c>
      <c r="E8" s="48">
        <f t="shared" si="2"/>
        <v>0.3181177411409768</v>
      </c>
      <c r="F8" s="83">
        <v>1</v>
      </c>
      <c r="G8" s="83">
        <v>1</v>
      </c>
      <c r="H8" s="83">
        <v>1</v>
      </c>
      <c r="I8" s="87" t="s">
        <v>101</v>
      </c>
      <c r="J8" s="48">
        <f t="shared" si="3"/>
        <v>0.32479339965944359</v>
      </c>
      <c r="K8" s="48">
        <f t="shared" si="0"/>
        <v>0.32479339965944359</v>
      </c>
      <c r="L8" s="48">
        <f t="shared" si="4"/>
        <v>0.3181177411409768</v>
      </c>
      <c r="M8" s="48">
        <f t="shared" si="5"/>
        <v>0.32479339965944359</v>
      </c>
      <c r="N8" s="48">
        <f>D8*2/3</f>
        <v>0.21652893310629573</v>
      </c>
    </row>
    <row r="9" spans="1:18">
      <c r="A9" s="83">
        <v>7</v>
      </c>
      <c r="B9" s="83">
        <f t="shared" si="6"/>
        <v>2.3199999999999998</v>
      </c>
      <c r="C9" s="83">
        <f t="shared" si="1"/>
        <v>2.4</v>
      </c>
      <c r="D9" s="48">
        <f t="shared" si="2"/>
        <v>0.31181431862609904</v>
      </c>
      <c r="E9" s="48">
        <f t="shared" si="2"/>
        <v>0.30585119716870229</v>
      </c>
      <c r="F9" s="83">
        <v>1</v>
      </c>
      <c r="G9" s="83">
        <v>1</v>
      </c>
      <c r="H9" s="83">
        <v>1</v>
      </c>
      <c r="I9" s="87" t="s">
        <v>100</v>
      </c>
      <c r="J9" s="48">
        <f t="shared" si="3"/>
        <v>0.31181431862609904</v>
      </c>
      <c r="K9" s="48">
        <f t="shared" si="0"/>
        <v>0.31181431862609904</v>
      </c>
      <c r="L9" s="48">
        <f t="shared" si="4"/>
        <v>0.30585119716870229</v>
      </c>
      <c r="M9" s="48">
        <f t="shared" si="5"/>
        <v>0.31181431862609904</v>
      </c>
      <c r="N9" s="48">
        <f>D9*4/3</f>
        <v>0.41575242483479874</v>
      </c>
    </row>
    <row r="10" spans="1:18">
      <c r="A10" s="83">
        <v>8</v>
      </c>
      <c r="B10" s="83">
        <f t="shared" si="6"/>
        <v>2.48</v>
      </c>
      <c r="C10" s="83">
        <f t="shared" si="1"/>
        <v>2.56</v>
      </c>
      <c r="D10" s="48">
        <f t="shared" si="2"/>
        <v>0.30020002388354683</v>
      </c>
      <c r="E10" s="48">
        <f t="shared" si="2"/>
        <v>0.29483554211938834</v>
      </c>
      <c r="F10" s="83">
        <v>1</v>
      </c>
      <c r="G10" s="83">
        <v>1</v>
      </c>
      <c r="H10" s="83">
        <v>1</v>
      </c>
      <c r="I10" s="87" t="s">
        <v>101</v>
      </c>
      <c r="J10" s="48">
        <f t="shared" si="3"/>
        <v>0.30020002388354683</v>
      </c>
      <c r="K10" s="48">
        <f t="shared" si="0"/>
        <v>0.30020002388354683</v>
      </c>
      <c r="L10" s="48">
        <f t="shared" si="4"/>
        <v>0.29483554211938834</v>
      </c>
      <c r="M10" s="48">
        <f t="shared" si="5"/>
        <v>0.30020002388354683</v>
      </c>
      <c r="N10" s="48">
        <f>D10*2/3</f>
        <v>0.2001333492556979</v>
      </c>
      <c r="Q10" s="92" t="s">
        <v>107</v>
      </c>
      <c r="R10" s="89">
        <f>ABS(J16-R7)</f>
        <v>1.4261700841035285E-2</v>
      </c>
    </row>
    <row r="11" spans="1:18">
      <c r="A11" s="83">
        <v>9</v>
      </c>
      <c r="B11" s="83">
        <f t="shared" si="6"/>
        <v>2.64</v>
      </c>
      <c r="C11" s="83">
        <f t="shared" si="1"/>
        <v>2.72</v>
      </c>
      <c r="D11" s="48">
        <f t="shared" si="2"/>
        <v>0.28973518170188456</v>
      </c>
      <c r="E11" s="48">
        <f t="shared" si="2"/>
        <v>0.2848787119161405</v>
      </c>
      <c r="F11" s="83">
        <v>1</v>
      </c>
      <c r="G11" s="83">
        <v>1</v>
      </c>
      <c r="H11" s="83">
        <v>1</v>
      </c>
      <c r="I11" s="87" t="s">
        <v>100</v>
      </c>
      <c r="J11" s="48">
        <f t="shared" si="3"/>
        <v>0.28973518170188456</v>
      </c>
      <c r="K11" s="48">
        <f t="shared" si="0"/>
        <v>0.28973518170188456</v>
      </c>
      <c r="L11" s="48">
        <f t="shared" si="4"/>
        <v>0.2848787119161405</v>
      </c>
      <c r="M11" s="48">
        <f t="shared" si="5"/>
        <v>0.28973518170188456</v>
      </c>
      <c r="N11" s="48">
        <f>D11*4/3</f>
        <v>0.38631357560251273</v>
      </c>
      <c r="Q11" s="92" t="s">
        <v>108</v>
      </c>
      <c r="R11" s="89">
        <f>ABS(K16-R7)</f>
        <v>1.3585081767337193E-2</v>
      </c>
    </row>
    <row r="12" spans="1:18">
      <c r="A12" s="83">
        <v>10</v>
      </c>
      <c r="B12" s="83">
        <f t="shared" si="6"/>
        <v>2.8000000000000003</v>
      </c>
      <c r="C12" s="83">
        <f t="shared" si="1"/>
        <v>2.8800000000000003</v>
      </c>
      <c r="D12" s="48">
        <f t="shared" si="2"/>
        <v>0.28024794645392165</v>
      </c>
      <c r="E12" s="48">
        <f t="shared" si="2"/>
        <v>0.27582649157968941</v>
      </c>
      <c r="F12" s="83">
        <v>0</v>
      </c>
      <c r="G12" s="83">
        <v>1</v>
      </c>
      <c r="H12" s="83">
        <v>0.5</v>
      </c>
      <c r="I12" s="87" t="s">
        <v>99</v>
      </c>
      <c r="J12" s="48">
        <f t="shared" si="3"/>
        <v>0</v>
      </c>
      <c r="K12" s="48">
        <f t="shared" si="0"/>
        <v>0.28024794645392165</v>
      </c>
      <c r="L12" s="48">
        <f t="shared" si="4"/>
        <v>0</v>
      </c>
      <c r="M12" s="48">
        <f t="shared" si="5"/>
        <v>0.14012397322696082</v>
      </c>
      <c r="N12" s="48">
        <f>D12*1/3</f>
        <v>9.3415982151307211E-2</v>
      </c>
      <c r="Q12" s="92" t="s">
        <v>109</v>
      </c>
      <c r="R12" s="89">
        <f>ABS(L16-R7)</f>
        <v>1.617269806279964E-4</v>
      </c>
    </row>
    <row r="13" spans="1:18">
      <c r="A13" s="58"/>
      <c r="B13" s="58"/>
      <c r="C13" s="58"/>
      <c r="D13" s="58"/>
      <c r="E13" s="58"/>
      <c r="F13" s="58"/>
      <c r="G13" s="58"/>
      <c r="H13" s="58"/>
      <c r="I13" s="94" t="s">
        <v>92</v>
      </c>
      <c r="J13" s="88">
        <f>SUM(J2:J12)</f>
        <v>3.5717606302564717</v>
      </c>
      <c r="K13" s="88">
        <f t="shared" ref="K13:N13" si="7">SUM(K2:K12)</f>
        <v>3.3977182389541434</v>
      </c>
      <c r="L13" s="88">
        <f t="shared" si="7"/>
        <v>3.4816142063710758</v>
      </c>
      <c r="M13" s="88">
        <f t="shared" si="7"/>
        <v>3.4847394346053076</v>
      </c>
      <c r="N13" s="88">
        <f t="shared" si="7"/>
        <v>3.4826650671418178</v>
      </c>
      <c r="Q13" s="92" t="s">
        <v>110</v>
      </c>
      <c r="R13" s="89">
        <f>ABS(M16-R7)</f>
        <v>3.3830953684910181E-4</v>
      </c>
    </row>
    <row r="14" spans="1:18">
      <c r="Q14" s="92" t="s">
        <v>111</v>
      </c>
      <c r="R14" s="89">
        <f>ABS(N16-R7)</f>
        <v>6.4107426906989673E-6</v>
      </c>
    </row>
    <row r="15" spans="1:18">
      <c r="J15" s="19" t="s">
        <v>93</v>
      </c>
      <c r="K15" s="19" t="s">
        <v>95</v>
      </c>
      <c r="L15" s="19" t="s">
        <v>96</v>
      </c>
      <c r="M15" s="19" t="s">
        <v>97</v>
      </c>
      <c r="N15" s="19" t="s">
        <v>98</v>
      </c>
    </row>
    <row r="16" spans="1:18">
      <c r="J16" s="93">
        <f>J13*$Q$1</f>
        <v>0.57148170084103533</v>
      </c>
      <c r="K16" s="93">
        <f t="shared" ref="K16:N16" si="8">K13*$Q$1</f>
        <v>0.54363491823266286</v>
      </c>
      <c r="L16" s="93">
        <f t="shared" si="8"/>
        <v>0.55705827301937205</v>
      </c>
      <c r="M16" s="93">
        <f t="shared" si="8"/>
        <v>0.55755830953684915</v>
      </c>
      <c r="N16" s="93">
        <f t="shared" si="8"/>
        <v>0.55722641074269075</v>
      </c>
    </row>
    <row r="17" spans="17:18">
      <c r="Q17" s="92" t="s">
        <v>102</v>
      </c>
      <c r="R17" s="90">
        <f>R10/$R$7</f>
        <v>2.5594380749139091E-2</v>
      </c>
    </row>
    <row r="18" spans="17:18">
      <c r="Q18" s="92" t="s">
        <v>103</v>
      </c>
      <c r="R18" s="90">
        <f t="shared" ref="R18:R21" si="9">R11/$R$7</f>
        <v>2.4380104388459122E-2</v>
      </c>
    </row>
    <row r="19" spans="17:18">
      <c r="Q19" s="92" t="s">
        <v>104</v>
      </c>
      <c r="R19" s="90">
        <f t="shared" si="9"/>
        <v>2.9023900905925196E-4</v>
      </c>
    </row>
    <row r="20" spans="17:18">
      <c r="Q20" s="92" t="s">
        <v>105</v>
      </c>
      <c r="R20" s="90">
        <f t="shared" si="9"/>
        <v>6.0713818034008435E-4</v>
      </c>
    </row>
    <row r="21" spans="17:18">
      <c r="Q21" s="92" t="s">
        <v>106</v>
      </c>
      <c r="R21" s="90">
        <f t="shared" si="9"/>
        <v>1.1504868257957301E-5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I18"/>
  <sheetViews>
    <sheetView zoomScaleNormal="100" workbookViewId="0">
      <selection activeCell="K12" sqref="K12"/>
    </sheetView>
  </sheetViews>
  <sheetFormatPr defaultRowHeight="15"/>
  <cols>
    <col min="1" max="1" width="4.7109375" customWidth="1"/>
    <col min="2" max="3" width="12.85546875" customWidth="1"/>
    <col min="4" max="4" width="11.7109375" customWidth="1"/>
    <col min="5" max="5" width="7.5703125" customWidth="1"/>
    <col min="6" max="6" width="15.28515625" customWidth="1"/>
    <col min="7" max="9" width="9.42578125" customWidth="1"/>
    <col min="10" max="1025" width="8.7109375" customWidth="1"/>
  </cols>
  <sheetData>
    <row r="1" spans="1:9">
      <c r="A1" s="3" t="s">
        <v>2</v>
      </c>
      <c r="B1" s="4" t="s">
        <v>3</v>
      </c>
      <c r="C1" s="5">
        <v>0.01</v>
      </c>
    </row>
    <row r="3" spans="1:9">
      <c r="A3" s="2" t="s">
        <v>4</v>
      </c>
      <c r="B3" s="2" t="s">
        <v>5</v>
      </c>
      <c r="C3" s="2" t="s">
        <v>6</v>
      </c>
      <c r="D3" s="2" t="s">
        <v>0</v>
      </c>
      <c r="E3" s="2" t="s">
        <v>7</v>
      </c>
      <c r="F3" s="2" t="s">
        <v>8</v>
      </c>
      <c r="G3" s="2" t="s">
        <v>9</v>
      </c>
      <c r="H3" s="2" t="s">
        <v>10</v>
      </c>
      <c r="I3" s="2" t="s">
        <v>1</v>
      </c>
    </row>
    <row r="4" spans="1:9">
      <c r="A4" s="2">
        <v>0</v>
      </c>
      <c r="B4" s="10">
        <v>-1</v>
      </c>
      <c r="C4" s="10">
        <v>0</v>
      </c>
      <c r="D4" s="10">
        <f t="shared" ref="D4:D18" si="0">(B4+C4)/2</f>
        <v>-0.5</v>
      </c>
      <c r="E4" s="10">
        <f t="shared" ref="E4:E18" si="1">C4-B4</f>
        <v>1</v>
      </c>
      <c r="F4" s="10" t="str">
        <f t="shared" ref="F4:F18" si="2">IF(E4&lt;$C$1,"корень","---")</f>
        <v>---</v>
      </c>
      <c r="G4" s="10">
        <f>(B4^3)-(3*(B4^2))-(24*B4)-3</f>
        <v>17</v>
      </c>
      <c r="H4" s="10">
        <f>(C4^3)-(3*(C4^2))-(24*C4)-3</f>
        <v>-3</v>
      </c>
      <c r="I4" s="10">
        <f>(D4^3)-(3*(D4^2))-(24*D4)-3</f>
        <v>8.125</v>
      </c>
    </row>
    <row r="5" spans="1:9">
      <c r="A5" s="2">
        <f t="shared" ref="A5:A18" si="3">A4+1</f>
        <v>1</v>
      </c>
      <c r="B5" s="10">
        <f t="shared" ref="B5:B18" si="4">IF(G4*I4&lt;0,B4,D4)</f>
        <v>-0.5</v>
      </c>
      <c r="C5" s="10">
        <f t="shared" ref="C5:C18" si="5">IF(G4*I4&lt;0,D4,C4)</f>
        <v>0</v>
      </c>
      <c r="D5" s="10">
        <f t="shared" si="0"/>
        <v>-0.25</v>
      </c>
      <c r="E5" s="10">
        <f t="shared" si="1"/>
        <v>0.5</v>
      </c>
      <c r="F5" s="10" t="str">
        <f t="shared" si="2"/>
        <v>---</v>
      </c>
      <c r="G5" s="10">
        <f t="shared" ref="G5:G18" si="6">(B5^3)-(3*(B5^2))-(24*B5)-3</f>
        <v>8.125</v>
      </c>
      <c r="H5" s="10">
        <f t="shared" ref="H5:H18" si="7">(C5^3)-(3*(C5^2))-(24*C5)-3</f>
        <v>-3</v>
      </c>
      <c r="I5" s="10">
        <f t="shared" ref="I5:I18" si="8">(D5^3)-(3*(D5^2))-(24*D5)-3</f>
        <v>2.796875</v>
      </c>
    </row>
    <row r="6" spans="1:9">
      <c r="A6" s="2">
        <f t="shared" si="3"/>
        <v>2</v>
      </c>
      <c r="B6" s="10">
        <f t="shared" si="4"/>
        <v>-0.25</v>
      </c>
      <c r="C6" s="10">
        <f t="shared" si="5"/>
        <v>0</v>
      </c>
      <c r="D6" s="12">
        <f t="shared" si="0"/>
        <v>-0.125</v>
      </c>
      <c r="E6" s="10">
        <f t="shared" si="1"/>
        <v>0.25</v>
      </c>
      <c r="F6" s="10" t="str">
        <f t="shared" si="2"/>
        <v>---</v>
      </c>
      <c r="G6" s="10">
        <f t="shared" si="6"/>
        <v>2.796875</v>
      </c>
      <c r="H6" s="10">
        <f t="shared" si="7"/>
        <v>-3</v>
      </c>
      <c r="I6" s="10">
        <f t="shared" si="8"/>
        <v>-4.8828125E-2</v>
      </c>
    </row>
    <row r="7" spans="1:9">
      <c r="A7" s="2">
        <f t="shared" si="3"/>
        <v>3</v>
      </c>
      <c r="B7" s="10">
        <f t="shared" si="4"/>
        <v>-0.25</v>
      </c>
      <c r="C7" s="10">
        <f t="shared" si="5"/>
        <v>-0.125</v>
      </c>
      <c r="D7" s="10">
        <f t="shared" si="0"/>
        <v>-0.1875</v>
      </c>
      <c r="E7" s="10">
        <f t="shared" si="1"/>
        <v>0.125</v>
      </c>
      <c r="F7" s="10" t="str">
        <f t="shared" si="2"/>
        <v>---</v>
      </c>
      <c r="G7" s="10">
        <f t="shared" si="6"/>
        <v>2.796875</v>
      </c>
      <c r="H7" s="10">
        <f t="shared" si="7"/>
        <v>-4.8828125E-2</v>
      </c>
      <c r="I7" s="10">
        <f t="shared" si="8"/>
        <v>1.387939453125</v>
      </c>
    </row>
    <row r="8" spans="1:9">
      <c r="A8" s="2">
        <f t="shared" si="3"/>
        <v>4</v>
      </c>
      <c r="B8" s="10">
        <f t="shared" si="4"/>
        <v>-0.1875</v>
      </c>
      <c r="C8" s="10">
        <f t="shared" si="5"/>
        <v>-0.125</v>
      </c>
      <c r="D8" s="10">
        <f t="shared" si="0"/>
        <v>-0.15625</v>
      </c>
      <c r="E8" s="10">
        <f t="shared" si="1"/>
        <v>6.25E-2</v>
      </c>
      <c r="F8" s="10" t="str">
        <f t="shared" si="2"/>
        <v>---</v>
      </c>
      <c r="G8" s="10">
        <f t="shared" si="6"/>
        <v>1.387939453125</v>
      </c>
      <c r="H8" s="10">
        <f t="shared" si="7"/>
        <v>-4.8828125E-2</v>
      </c>
      <c r="I8" s="10">
        <f t="shared" si="8"/>
        <v>0.672943115234375</v>
      </c>
    </row>
    <row r="9" spans="1:9">
      <c r="A9" s="2">
        <f t="shared" si="3"/>
        <v>5</v>
      </c>
      <c r="B9" s="10">
        <f t="shared" si="4"/>
        <v>-0.15625</v>
      </c>
      <c r="C9" s="10">
        <f t="shared" si="5"/>
        <v>-0.125</v>
      </c>
      <c r="D9" s="10">
        <f t="shared" si="0"/>
        <v>-0.140625</v>
      </c>
      <c r="E9" s="10">
        <f t="shared" si="1"/>
        <v>3.125E-2</v>
      </c>
      <c r="F9" s="10" t="str">
        <f t="shared" si="2"/>
        <v>---</v>
      </c>
      <c r="G9" s="10">
        <f t="shared" si="6"/>
        <v>0.672943115234375</v>
      </c>
      <c r="H9" s="10">
        <f t="shared" si="7"/>
        <v>-4.8828125E-2</v>
      </c>
      <c r="I9" s="10">
        <f t="shared" si="8"/>
        <v>0.31289291381835938</v>
      </c>
    </row>
    <row r="10" spans="1:9">
      <c r="A10" s="2">
        <f t="shared" si="3"/>
        <v>6</v>
      </c>
      <c r="B10" s="10">
        <f t="shared" si="4"/>
        <v>-0.140625</v>
      </c>
      <c r="C10" s="10">
        <f t="shared" si="5"/>
        <v>-0.125</v>
      </c>
      <c r="D10" s="10">
        <f t="shared" si="0"/>
        <v>-0.1328125</v>
      </c>
      <c r="E10" s="10">
        <f t="shared" si="1"/>
        <v>1.5625E-2</v>
      </c>
      <c r="F10" s="10" t="str">
        <f t="shared" si="2"/>
        <v>---</v>
      </c>
      <c r="G10" s="10">
        <f t="shared" si="6"/>
        <v>0.31289291381835938</v>
      </c>
      <c r="H10" s="10">
        <f t="shared" si="7"/>
        <v>-4.8828125E-2</v>
      </c>
      <c r="I10" s="10">
        <f t="shared" si="8"/>
        <v>0.13223981857299805</v>
      </c>
    </row>
    <row r="11" spans="1:9">
      <c r="A11" s="2">
        <f t="shared" si="3"/>
        <v>7</v>
      </c>
      <c r="B11" s="10">
        <f t="shared" si="4"/>
        <v>-0.1328125</v>
      </c>
      <c r="C11" s="10">
        <f t="shared" si="5"/>
        <v>-0.125</v>
      </c>
      <c r="D11" s="11">
        <f t="shared" si="0"/>
        <v>-0.12890625</v>
      </c>
      <c r="E11" s="10">
        <f t="shared" si="1"/>
        <v>7.8125E-3</v>
      </c>
      <c r="F11" s="10" t="str">
        <f>IF(E11&lt;$C$1,"корень","---")</f>
        <v>корень</v>
      </c>
      <c r="G11" s="10">
        <f t="shared" si="6"/>
        <v>0.13223981857299805</v>
      </c>
      <c r="H11" s="10">
        <f t="shared" si="7"/>
        <v>-4.8828125E-2</v>
      </c>
      <c r="I11" s="10">
        <f t="shared" si="8"/>
        <v>4.1757524013519287E-2</v>
      </c>
    </row>
    <row r="12" spans="1:9">
      <c r="A12" s="2">
        <f t="shared" si="3"/>
        <v>8</v>
      </c>
      <c r="B12" s="10">
        <f t="shared" si="4"/>
        <v>-0.12890625</v>
      </c>
      <c r="C12" s="10">
        <f t="shared" si="5"/>
        <v>-0.125</v>
      </c>
      <c r="D12" s="13">
        <f t="shared" si="0"/>
        <v>-0.126953125</v>
      </c>
      <c r="E12" s="10">
        <f t="shared" si="1"/>
        <v>3.90625E-3</v>
      </c>
      <c r="F12" s="10" t="str">
        <f t="shared" si="2"/>
        <v>корень</v>
      </c>
      <c r="G12" s="10">
        <f t="shared" si="6"/>
        <v>4.1757524013519287E-2</v>
      </c>
      <c r="H12" s="10">
        <f t="shared" si="7"/>
        <v>-4.8828125E-2</v>
      </c>
      <c r="I12" s="10">
        <f t="shared" si="8"/>
        <v>-3.5224035382270813E-3</v>
      </c>
    </row>
    <row r="13" spans="1:9">
      <c r="A13" s="2">
        <f t="shared" si="3"/>
        <v>9</v>
      </c>
      <c r="B13" s="10">
        <f t="shared" si="4"/>
        <v>-0.12890625</v>
      </c>
      <c r="C13" s="10">
        <f t="shared" si="5"/>
        <v>-0.126953125</v>
      </c>
      <c r="D13" s="13">
        <f t="shared" si="0"/>
        <v>-0.1279296875</v>
      </c>
      <c r="E13" s="10">
        <f t="shared" si="1"/>
        <v>1.953125E-3</v>
      </c>
      <c r="F13" s="10" t="str">
        <f t="shared" si="2"/>
        <v>корень</v>
      </c>
      <c r="G13" s="10">
        <f t="shared" si="6"/>
        <v>4.1757524013519287E-2</v>
      </c>
      <c r="H13" s="10">
        <f t="shared" si="7"/>
        <v>-3.5224035382270813E-3</v>
      </c>
      <c r="I13" s="10">
        <f t="shared" si="8"/>
        <v>1.9120787270367146E-2</v>
      </c>
    </row>
    <row r="14" spans="1:9">
      <c r="A14" s="2">
        <f t="shared" si="3"/>
        <v>10</v>
      </c>
      <c r="B14" s="10">
        <f t="shared" si="4"/>
        <v>-0.1279296875</v>
      </c>
      <c r="C14" s="10">
        <f t="shared" si="5"/>
        <v>-0.126953125</v>
      </c>
      <c r="D14" s="13">
        <f t="shared" si="0"/>
        <v>-0.12744140625</v>
      </c>
      <c r="E14" s="10">
        <f t="shared" si="1"/>
        <v>9.765625E-4</v>
      </c>
      <c r="F14" s="10" t="str">
        <f t="shared" si="2"/>
        <v>корень</v>
      </c>
      <c r="G14" s="10">
        <f t="shared" si="6"/>
        <v>1.9120787270367146E-2</v>
      </c>
      <c r="H14" s="10">
        <f t="shared" si="7"/>
        <v>-3.5224035382270813E-3</v>
      </c>
      <c r="I14" s="10">
        <f t="shared" si="8"/>
        <v>7.7999982750043273E-3</v>
      </c>
    </row>
    <row r="15" spans="1:9">
      <c r="A15" s="2">
        <f t="shared" si="3"/>
        <v>11</v>
      </c>
      <c r="B15" s="10">
        <f t="shared" si="4"/>
        <v>-0.12744140625</v>
      </c>
      <c r="C15" s="10">
        <f t="shared" si="5"/>
        <v>-0.126953125</v>
      </c>
      <c r="D15" s="13">
        <f t="shared" si="0"/>
        <v>-0.127197265625</v>
      </c>
      <c r="E15" s="10">
        <f t="shared" si="1"/>
        <v>4.8828125E-4</v>
      </c>
      <c r="F15" s="10" t="str">
        <f t="shared" si="2"/>
        <v>корень</v>
      </c>
      <c r="G15" s="10">
        <f t="shared" si="6"/>
        <v>7.7999982750043273E-3</v>
      </c>
      <c r="H15" s="10">
        <f t="shared" si="7"/>
        <v>-3.5224035382270813E-3</v>
      </c>
      <c r="I15" s="10">
        <f t="shared" si="8"/>
        <v>2.1389989269664511E-3</v>
      </c>
    </row>
    <row r="16" spans="1:9">
      <c r="A16" s="2">
        <f t="shared" si="3"/>
        <v>12</v>
      </c>
      <c r="B16" s="10">
        <f t="shared" si="4"/>
        <v>-0.127197265625</v>
      </c>
      <c r="C16" s="10">
        <f t="shared" si="5"/>
        <v>-0.126953125</v>
      </c>
      <c r="D16" s="13">
        <f t="shared" si="0"/>
        <v>-0.1270751953125</v>
      </c>
      <c r="E16" s="10">
        <f t="shared" si="1"/>
        <v>2.44140625E-4</v>
      </c>
      <c r="F16" s="10" t="str">
        <f t="shared" si="2"/>
        <v>корень</v>
      </c>
      <c r="G16" s="10">
        <f t="shared" si="6"/>
        <v>2.1389989269664511E-3</v>
      </c>
      <c r="H16" s="10">
        <f t="shared" si="7"/>
        <v>-3.5224035382270813E-3</v>
      </c>
      <c r="I16" s="10">
        <f t="shared" si="8"/>
        <v>-6.9165192144282628E-4</v>
      </c>
    </row>
    <row r="17" spans="1:9">
      <c r="A17" s="2">
        <f t="shared" si="3"/>
        <v>13</v>
      </c>
      <c r="B17" s="10">
        <f t="shared" si="4"/>
        <v>-0.127197265625</v>
      </c>
      <c r="C17" s="10">
        <f t="shared" si="5"/>
        <v>-0.1270751953125</v>
      </c>
      <c r="D17" s="13">
        <f t="shared" si="0"/>
        <v>-0.12713623046875</v>
      </c>
      <c r="E17" s="10">
        <f t="shared" si="1"/>
        <v>1.220703125E-4</v>
      </c>
      <c r="F17" s="10" t="str">
        <f t="shared" si="2"/>
        <v>корень</v>
      </c>
      <c r="G17" s="10">
        <f t="shared" si="6"/>
        <v>2.1389989269664511E-3</v>
      </c>
      <c r="H17" s="10">
        <f t="shared" si="7"/>
        <v>-6.9165192144282628E-4</v>
      </c>
      <c r="I17" s="10">
        <f t="shared" si="8"/>
        <v>7.2368609949080565E-4</v>
      </c>
    </row>
    <row r="18" spans="1:9">
      <c r="A18" s="2">
        <f t="shared" si="3"/>
        <v>14</v>
      </c>
      <c r="B18" s="10">
        <f t="shared" si="4"/>
        <v>-0.12713623046875</v>
      </c>
      <c r="C18" s="10">
        <f t="shared" si="5"/>
        <v>-0.1270751953125</v>
      </c>
      <c r="D18" s="12">
        <f t="shared" si="0"/>
        <v>-0.127105712890625</v>
      </c>
      <c r="E18" s="10">
        <f t="shared" si="1"/>
        <v>6.103515625E-5</v>
      </c>
      <c r="F18" s="10" t="str">
        <f t="shared" si="2"/>
        <v>корень</v>
      </c>
      <c r="G18" s="10">
        <f t="shared" si="6"/>
        <v>7.2368609949080565E-4</v>
      </c>
      <c r="H18" s="10">
        <f t="shared" si="7"/>
        <v>-6.9165192144282628E-4</v>
      </c>
      <c r="I18" s="10">
        <f t="shared" si="8"/>
        <v>1.6020238120972863E-5</v>
      </c>
    </row>
  </sheetData>
  <pageMargins left="0.7" right="0.7" top="0.75" bottom="0.75" header="0.51180555555555496" footer="0.51180555555555496"/>
  <pageSetup paperSize="9" firstPageNumber="0" orientation="portrait" horizontalDpi="300" verticalDpi="300"/>
</worksheet>
</file>

<file path=xl/worksheets/sheet20.xml><?xml version="1.0" encoding="utf-8"?>
<worksheet xmlns="http://schemas.openxmlformats.org/spreadsheetml/2006/main" xmlns:r="http://schemas.openxmlformats.org/officeDocument/2006/relationships">
  <dimension ref="A1:N26"/>
  <sheetViews>
    <sheetView zoomScale="115" zoomScaleNormal="115" workbookViewId="0">
      <selection activeCell="I25" sqref="I25"/>
    </sheetView>
  </sheetViews>
  <sheetFormatPr defaultRowHeight="15"/>
  <cols>
    <col min="6" max="6" width="14.28515625" customWidth="1"/>
    <col min="11" max="11" width="13.85546875" customWidth="1"/>
    <col min="13" max="13" width="10" customWidth="1"/>
    <col min="14" max="14" width="10.140625" bestFit="1" customWidth="1"/>
    <col min="18" max="18" width="11" customWidth="1"/>
  </cols>
  <sheetData>
    <row r="1" spans="1:14">
      <c r="A1" s="86" t="s">
        <v>79</v>
      </c>
      <c r="B1" s="86" t="s">
        <v>80</v>
      </c>
      <c r="C1" s="86" t="s">
        <v>65</v>
      </c>
      <c r="D1" s="86" t="s">
        <v>83</v>
      </c>
      <c r="E1" s="86" t="s">
        <v>86</v>
      </c>
      <c r="F1" s="86" t="s">
        <v>87</v>
      </c>
      <c r="G1" s="86" t="s">
        <v>91</v>
      </c>
      <c r="H1" s="95"/>
      <c r="I1" s="91" t="s">
        <v>77</v>
      </c>
      <c r="J1" s="85">
        <f>(J3-J2)/J4</f>
        <v>7.9999999999999988E-2</v>
      </c>
      <c r="K1" s="95"/>
      <c r="L1" s="95"/>
      <c r="M1" s="95"/>
      <c r="N1" s="95"/>
    </row>
    <row r="2" spans="1:14">
      <c r="A2" s="83">
        <v>0</v>
      </c>
      <c r="B2" s="83">
        <f>J2</f>
        <v>1.2</v>
      </c>
      <c r="C2" s="48">
        <f>(SQRT(1.2*B2+0.7))/(1.4*B2+SQRT((1.3*B2^2)+0.5))</f>
        <v>0.45429033775625016</v>
      </c>
      <c r="D2" s="83">
        <v>1</v>
      </c>
      <c r="E2" s="87" t="s">
        <v>99</v>
      </c>
      <c r="F2" s="48">
        <f>D2*$C2</f>
        <v>0.45429033775625016</v>
      </c>
      <c r="G2" s="48">
        <f>C2*(1/3)</f>
        <v>0.15143011258541672</v>
      </c>
      <c r="H2" s="51"/>
      <c r="I2" s="91" t="s">
        <v>78</v>
      </c>
      <c r="J2" s="85">
        <v>1.2</v>
      </c>
      <c r="K2" s="68"/>
      <c r="L2" s="68"/>
      <c r="M2" s="68"/>
      <c r="N2" s="95"/>
    </row>
    <row r="3" spans="1:14">
      <c r="A3" s="83">
        <v>1</v>
      </c>
      <c r="B3" s="83">
        <f t="shared" ref="B3:B22" si="0">B2+$J$1</f>
        <v>1.28</v>
      </c>
      <c r="C3" s="48">
        <f t="shared" ref="C3:C22" si="1">(SQRT(1.2*B3+0.7))/(1.4*B3+SQRT((1.3*B3^2)+0.5))</f>
        <v>0.43803638897803504</v>
      </c>
      <c r="D3" s="83">
        <v>1</v>
      </c>
      <c r="E3" s="87" t="s">
        <v>100</v>
      </c>
      <c r="F3" s="48">
        <f t="shared" ref="F3:F22" si="2">D3*$C3</f>
        <v>0.43803638897803504</v>
      </c>
      <c r="G3" s="48">
        <f>C3*4/3</f>
        <v>0.58404851863738005</v>
      </c>
      <c r="H3" s="51"/>
      <c r="I3" s="91" t="s">
        <v>76</v>
      </c>
      <c r="J3" s="85">
        <v>2.8</v>
      </c>
      <c r="K3" s="68"/>
      <c r="L3" s="68"/>
      <c r="M3" s="68"/>
      <c r="N3" s="95"/>
    </row>
    <row r="4" spans="1:14">
      <c r="A4" s="83">
        <v>2</v>
      </c>
      <c r="B4" s="83">
        <f t="shared" si="0"/>
        <v>1.36</v>
      </c>
      <c r="C4" s="48">
        <f t="shared" si="1"/>
        <v>0.42322102162304276</v>
      </c>
      <c r="D4" s="83">
        <v>1</v>
      </c>
      <c r="E4" s="87" t="s">
        <v>101</v>
      </c>
      <c r="F4" s="48">
        <f t="shared" si="2"/>
        <v>0.42322102162304276</v>
      </c>
      <c r="G4" s="48">
        <f>C4*2/3</f>
        <v>0.28214734774869515</v>
      </c>
      <c r="H4" s="51"/>
      <c r="I4" s="91" t="s">
        <v>75</v>
      </c>
      <c r="J4" s="85">
        <v>20</v>
      </c>
      <c r="K4" s="68"/>
      <c r="L4" s="68"/>
      <c r="M4" s="68"/>
      <c r="N4" s="95"/>
    </row>
    <row r="5" spans="1:14">
      <c r="A5" s="83">
        <v>3</v>
      </c>
      <c r="B5" s="83">
        <f t="shared" si="0"/>
        <v>1.4400000000000002</v>
      </c>
      <c r="C5" s="48">
        <f t="shared" si="1"/>
        <v>0.40966059687447287</v>
      </c>
      <c r="D5" s="83">
        <v>1</v>
      </c>
      <c r="E5" s="87" t="s">
        <v>100</v>
      </c>
      <c r="F5" s="48">
        <f t="shared" si="2"/>
        <v>0.40966059687447287</v>
      </c>
      <c r="G5" s="48">
        <f>C5*4/3</f>
        <v>0.54621412916596379</v>
      </c>
      <c r="H5" s="51"/>
      <c r="I5" s="95"/>
      <c r="J5" s="95"/>
      <c r="K5" s="68"/>
      <c r="L5" s="68"/>
      <c r="M5" s="68"/>
      <c r="N5" s="95"/>
    </row>
    <row r="6" spans="1:14">
      <c r="A6" s="83">
        <v>4</v>
      </c>
      <c r="B6" s="83">
        <f t="shared" si="0"/>
        <v>1.5200000000000002</v>
      </c>
      <c r="C6" s="48">
        <f t="shared" si="1"/>
        <v>0.39720045898841866</v>
      </c>
      <c r="D6" s="83">
        <v>1</v>
      </c>
      <c r="E6" s="87" t="s">
        <v>101</v>
      </c>
      <c r="F6" s="48">
        <f t="shared" si="2"/>
        <v>0.39720045898841866</v>
      </c>
      <c r="G6" s="48">
        <f>C6*2/3</f>
        <v>0.26480030599227911</v>
      </c>
      <c r="H6" s="51"/>
      <c r="I6" t="s">
        <v>94</v>
      </c>
      <c r="K6" s="84">
        <v>0.55722000000000005</v>
      </c>
      <c r="L6" s="68"/>
      <c r="M6" s="68"/>
      <c r="N6" s="95"/>
    </row>
    <row r="7" spans="1:14">
      <c r="A7" s="83">
        <v>5</v>
      </c>
      <c r="B7" s="83">
        <f t="shared" si="0"/>
        <v>1.6000000000000003</v>
      </c>
      <c r="C7" s="48">
        <f t="shared" si="1"/>
        <v>0.38570970681168831</v>
      </c>
      <c r="D7" s="83">
        <v>1</v>
      </c>
      <c r="E7" s="87" t="s">
        <v>100</v>
      </c>
      <c r="F7" s="48">
        <f t="shared" si="2"/>
        <v>0.38570970681168831</v>
      </c>
      <c r="G7" s="48">
        <f>C7*4/3</f>
        <v>0.51427960908225112</v>
      </c>
      <c r="H7" s="51"/>
      <c r="L7" s="68"/>
      <c r="M7" s="68"/>
      <c r="N7" s="95"/>
    </row>
    <row r="8" spans="1:14">
      <c r="A8" s="83">
        <v>6</v>
      </c>
      <c r="B8" s="83">
        <f t="shared" si="0"/>
        <v>1.6800000000000004</v>
      </c>
      <c r="C8" s="48">
        <f t="shared" si="1"/>
        <v>0.37507698533967138</v>
      </c>
      <c r="D8" s="83">
        <v>1</v>
      </c>
      <c r="E8" s="87" t="s">
        <v>101</v>
      </c>
      <c r="F8" s="48">
        <f t="shared" si="2"/>
        <v>0.37507698533967138</v>
      </c>
      <c r="G8" s="48">
        <f>C8*2/3</f>
        <v>0.25005132355978094</v>
      </c>
      <c r="H8" s="51"/>
      <c r="L8" s="68"/>
      <c r="M8" s="68"/>
      <c r="N8" s="95"/>
    </row>
    <row r="9" spans="1:14">
      <c r="A9" s="83">
        <v>7</v>
      </c>
      <c r="B9" s="83">
        <f t="shared" si="0"/>
        <v>1.7600000000000005</v>
      </c>
      <c r="C9" s="48">
        <f t="shared" si="1"/>
        <v>0.36520709367682186</v>
      </c>
      <c r="D9" s="83">
        <v>1</v>
      </c>
      <c r="E9" s="87" t="s">
        <v>100</v>
      </c>
      <c r="F9" s="48">
        <f t="shared" si="2"/>
        <v>0.36520709367682186</v>
      </c>
      <c r="G9" s="48">
        <f>C9*4/3</f>
        <v>0.48694279156909581</v>
      </c>
      <c r="H9" s="51"/>
      <c r="J9" s="92" t="s">
        <v>107</v>
      </c>
      <c r="K9" s="89">
        <f>ABS(F26-K6)</f>
        <v>7.0499869302035334E-3</v>
      </c>
      <c r="L9" s="68"/>
      <c r="M9" s="68"/>
      <c r="N9" s="95"/>
    </row>
    <row r="10" spans="1:14">
      <c r="A10" s="83">
        <v>8</v>
      </c>
      <c r="B10" s="83">
        <f t="shared" si="0"/>
        <v>1.8400000000000005</v>
      </c>
      <c r="C10" s="48">
        <f t="shared" si="1"/>
        <v>0.35601824386139408</v>
      </c>
      <c r="D10" s="83">
        <v>1</v>
      </c>
      <c r="E10" s="87" t="s">
        <v>101</v>
      </c>
      <c r="F10" s="48">
        <f t="shared" si="2"/>
        <v>0.35601824386139408</v>
      </c>
      <c r="G10" s="48">
        <f>C10*2/3</f>
        <v>0.23734549590759604</v>
      </c>
      <c r="H10" s="51"/>
      <c r="J10" s="92" t="s">
        <v>111</v>
      </c>
      <c r="K10" s="89">
        <f>ABS(F27-K7)</f>
        <v>0</v>
      </c>
      <c r="L10" s="68"/>
      <c r="M10" s="68"/>
      <c r="N10" s="95"/>
    </row>
    <row r="11" spans="1:14">
      <c r="A11" s="83">
        <v>9</v>
      </c>
      <c r="B11" s="83">
        <f t="shared" si="0"/>
        <v>1.9200000000000006</v>
      </c>
      <c r="C11" s="48">
        <f t="shared" si="1"/>
        <v>0.34743983804022871</v>
      </c>
      <c r="D11" s="83">
        <v>1</v>
      </c>
      <c r="E11" s="87" t="s">
        <v>100</v>
      </c>
      <c r="F11" s="48">
        <f t="shared" si="2"/>
        <v>0.34743983804022871</v>
      </c>
      <c r="G11" s="48">
        <f>C11*4/3</f>
        <v>0.46325311738697161</v>
      </c>
      <c r="H11" s="51"/>
      <c r="J11" s="98"/>
      <c r="K11" s="100"/>
      <c r="L11" s="68"/>
      <c r="M11" s="68"/>
      <c r="N11" s="95"/>
    </row>
    <row r="12" spans="1:14">
      <c r="A12" s="83">
        <v>10</v>
      </c>
      <c r="B12" s="83">
        <f t="shared" si="0"/>
        <v>2.0000000000000004</v>
      </c>
      <c r="C12" s="48">
        <f t="shared" si="1"/>
        <v>0.33941065881672061</v>
      </c>
      <c r="D12" s="83">
        <v>1</v>
      </c>
      <c r="E12" s="87" t="s">
        <v>101</v>
      </c>
      <c r="F12" s="48">
        <f t="shared" si="2"/>
        <v>0.33941065881672061</v>
      </c>
      <c r="G12" s="48">
        <f>C12*2/3</f>
        <v>0.22627377254448042</v>
      </c>
      <c r="H12" s="51"/>
      <c r="J12" s="92" t="s">
        <v>102</v>
      </c>
      <c r="K12" s="90">
        <f>K9/$K$6</f>
        <v>1.265207087003972E-2</v>
      </c>
      <c r="L12" s="68"/>
      <c r="M12" s="68"/>
      <c r="N12" s="95"/>
    </row>
    <row r="13" spans="1:14">
      <c r="A13" s="83">
        <v>11</v>
      </c>
      <c r="B13" s="83">
        <f t="shared" si="0"/>
        <v>2.0800000000000005</v>
      </c>
      <c r="C13" s="48">
        <f t="shared" si="1"/>
        <v>0.33187738964462016</v>
      </c>
      <c r="D13" s="83">
        <v>1</v>
      </c>
      <c r="E13" s="87" t="s">
        <v>100</v>
      </c>
      <c r="F13" s="48">
        <f t="shared" si="2"/>
        <v>0.33187738964462016</v>
      </c>
      <c r="G13" s="48">
        <f>C13*4/3</f>
        <v>0.44250318619282686</v>
      </c>
      <c r="H13" s="51"/>
      <c r="J13" s="92" t="s">
        <v>106</v>
      </c>
      <c r="K13" s="90">
        <f>K10/$K$6</f>
        <v>0</v>
      </c>
      <c r="L13" s="68"/>
      <c r="M13" s="68"/>
      <c r="N13" s="95"/>
    </row>
    <row r="14" spans="1:14">
      <c r="A14" s="83">
        <v>12</v>
      </c>
      <c r="B14" s="83">
        <f t="shared" si="0"/>
        <v>2.1600000000000006</v>
      </c>
      <c r="C14" s="48">
        <f t="shared" si="1"/>
        <v>0.32479339965944354</v>
      </c>
      <c r="D14" s="83">
        <v>1</v>
      </c>
      <c r="E14" s="87" t="s">
        <v>101</v>
      </c>
      <c r="F14" s="48">
        <f t="shared" si="2"/>
        <v>0.32479339965944354</v>
      </c>
      <c r="G14" s="48">
        <f>C14*2/3</f>
        <v>0.2165289331062957</v>
      </c>
      <c r="H14" s="95"/>
      <c r="L14" s="68"/>
      <c r="M14" s="68"/>
      <c r="N14" s="95"/>
    </row>
    <row r="15" spans="1:14">
      <c r="A15" s="83">
        <v>13</v>
      </c>
      <c r="B15" s="83">
        <f t="shared" si="0"/>
        <v>2.2400000000000007</v>
      </c>
      <c r="C15" s="48">
        <f t="shared" si="1"/>
        <v>0.31811774114097674</v>
      </c>
      <c r="D15" s="83">
        <v>1</v>
      </c>
      <c r="E15" s="87" t="s">
        <v>100</v>
      </c>
      <c r="F15" s="48">
        <f t="shared" si="2"/>
        <v>0.31811774114097674</v>
      </c>
      <c r="G15" s="48">
        <f>C15*4/3</f>
        <v>0.42415698818796899</v>
      </c>
      <c r="H15" s="95"/>
      <c r="L15" s="68"/>
      <c r="M15" s="68"/>
      <c r="N15" s="95"/>
    </row>
    <row r="16" spans="1:14">
      <c r="A16" s="83">
        <v>14</v>
      </c>
      <c r="B16" s="83">
        <f t="shared" si="0"/>
        <v>2.3200000000000007</v>
      </c>
      <c r="C16" s="48">
        <f t="shared" si="1"/>
        <v>0.31181431862609899</v>
      </c>
      <c r="D16" s="83">
        <v>1</v>
      </c>
      <c r="E16" s="87" t="s">
        <v>101</v>
      </c>
      <c r="F16" s="48">
        <f t="shared" si="2"/>
        <v>0.31181431862609899</v>
      </c>
      <c r="G16" s="48">
        <f>C16*2/3</f>
        <v>0.20787621241739931</v>
      </c>
      <c r="H16" s="95"/>
      <c r="L16" s="68"/>
      <c r="M16" s="68"/>
      <c r="N16" s="95"/>
    </row>
    <row r="17" spans="1:14">
      <c r="A17" s="83">
        <v>15</v>
      </c>
      <c r="B17" s="83">
        <f t="shared" si="0"/>
        <v>2.4000000000000008</v>
      </c>
      <c r="C17" s="48">
        <f t="shared" si="1"/>
        <v>0.30585119716870224</v>
      </c>
      <c r="D17" s="83">
        <v>1</v>
      </c>
      <c r="E17" s="87" t="s">
        <v>100</v>
      </c>
      <c r="F17" s="48">
        <f t="shared" si="2"/>
        <v>0.30585119716870224</v>
      </c>
      <c r="G17" s="48">
        <f>C17*4/3</f>
        <v>0.40780159622493634</v>
      </c>
      <c r="H17" s="95"/>
      <c r="L17" s="68"/>
      <c r="M17" s="68"/>
      <c r="N17" s="95"/>
    </row>
    <row r="18" spans="1:14">
      <c r="A18" s="83">
        <v>16</v>
      </c>
      <c r="B18" s="83">
        <f t="shared" si="0"/>
        <v>2.4800000000000009</v>
      </c>
      <c r="C18" s="48">
        <f t="shared" si="1"/>
        <v>0.30020002388354677</v>
      </c>
      <c r="D18" s="83">
        <v>1</v>
      </c>
      <c r="E18" s="87" t="s">
        <v>101</v>
      </c>
      <c r="F18" s="48">
        <f t="shared" si="2"/>
        <v>0.30020002388354677</v>
      </c>
      <c r="G18" s="48">
        <f>C18*2/3</f>
        <v>0.20013334925569784</v>
      </c>
      <c r="H18" s="95"/>
      <c r="J18" s="98"/>
      <c r="K18" s="99"/>
      <c r="L18" s="68"/>
      <c r="M18" s="68"/>
      <c r="N18" s="95"/>
    </row>
    <row r="19" spans="1:14">
      <c r="A19" s="83">
        <v>17</v>
      </c>
      <c r="B19" s="83">
        <f t="shared" si="0"/>
        <v>2.5600000000000009</v>
      </c>
      <c r="C19" s="48">
        <f t="shared" si="1"/>
        <v>0.29483554211938828</v>
      </c>
      <c r="D19" s="83">
        <v>1</v>
      </c>
      <c r="E19" s="87" t="s">
        <v>100</v>
      </c>
      <c r="F19" s="48">
        <f t="shared" si="2"/>
        <v>0.29483554211938828</v>
      </c>
      <c r="G19" s="48">
        <f>C19*4/3</f>
        <v>0.39311405615918438</v>
      </c>
      <c r="H19" s="95"/>
      <c r="J19" s="98"/>
      <c r="K19" s="99"/>
      <c r="L19" s="68"/>
      <c r="M19" s="68"/>
      <c r="N19" s="95"/>
    </row>
    <row r="20" spans="1:14">
      <c r="A20" s="83">
        <v>18</v>
      </c>
      <c r="B20" s="83">
        <f t="shared" si="0"/>
        <v>2.640000000000001</v>
      </c>
      <c r="C20" s="48">
        <f t="shared" si="1"/>
        <v>0.28973518170188445</v>
      </c>
      <c r="D20" s="83">
        <v>1</v>
      </c>
      <c r="E20" s="87" t="s">
        <v>101</v>
      </c>
      <c r="F20" s="48">
        <f t="shared" si="2"/>
        <v>0.28973518170188445</v>
      </c>
      <c r="G20" s="48">
        <f>C20*2/3</f>
        <v>0.19315678780125631</v>
      </c>
      <c r="H20" s="95"/>
      <c r="L20" s="68"/>
      <c r="M20" s="68"/>
      <c r="N20" s="95"/>
    </row>
    <row r="21" spans="1:14">
      <c r="A21" s="83">
        <v>19</v>
      </c>
      <c r="B21" s="83">
        <f t="shared" si="0"/>
        <v>2.7200000000000011</v>
      </c>
      <c r="C21" s="48">
        <f t="shared" si="1"/>
        <v>0.28487871191614039</v>
      </c>
      <c r="D21" s="83">
        <v>1</v>
      </c>
      <c r="E21" s="87" t="s">
        <v>100</v>
      </c>
      <c r="F21" s="48">
        <f t="shared" si="2"/>
        <v>0.28487871191614039</v>
      </c>
      <c r="G21" s="48">
        <f>C21*4/3</f>
        <v>0.37983828255485386</v>
      </c>
      <c r="H21" s="95"/>
      <c r="I21" s="95"/>
      <c r="J21" s="95"/>
      <c r="K21" s="68"/>
      <c r="L21" s="68"/>
      <c r="M21" s="68"/>
      <c r="N21" s="95"/>
    </row>
    <row r="22" spans="1:14">
      <c r="A22" s="83">
        <v>20</v>
      </c>
      <c r="B22" s="83">
        <f t="shared" si="0"/>
        <v>2.8000000000000012</v>
      </c>
      <c r="C22" s="48">
        <f t="shared" si="1"/>
        <v>0.28024794645392159</v>
      </c>
      <c r="D22" s="19">
        <v>0</v>
      </c>
      <c r="E22" s="48">
        <v>0.33333333333333331</v>
      </c>
      <c r="F22" s="48">
        <f t="shared" si="2"/>
        <v>0</v>
      </c>
      <c r="G22" s="48">
        <f>C22*1/3</f>
        <v>9.3415982151307198E-2</v>
      </c>
      <c r="H22" s="95"/>
      <c r="I22" s="95"/>
      <c r="J22" s="95"/>
      <c r="K22" s="68"/>
      <c r="L22" s="68"/>
      <c r="M22" s="68"/>
      <c r="N22" s="95"/>
    </row>
    <row r="23" spans="1:14">
      <c r="E23" s="96" t="s">
        <v>112</v>
      </c>
      <c r="F23" s="97">
        <f>SUM(F2:F22)</f>
        <v>7.0533748366275457</v>
      </c>
      <c r="G23" s="97">
        <f>SUM(G2:G22)</f>
        <v>6.9653118982316373</v>
      </c>
      <c r="H23" s="95"/>
      <c r="I23" s="51"/>
      <c r="J23" s="68"/>
      <c r="K23" s="68"/>
      <c r="L23" s="68"/>
      <c r="M23" s="68"/>
      <c r="N23" s="68"/>
    </row>
    <row r="25" spans="1:14">
      <c r="F25" s="19" t="s">
        <v>93</v>
      </c>
      <c r="G25" s="19" t="s">
        <v>98</v>
      </c>
    </row>
    <row r="26" spans="1:14">
      <c r="F26" s="93">
        <f>F23*$J$1</f>
        <v>0.56426998693020358</v>
      </c>
      <c r="G26" s="93">
        <f>G23*$J$1</f>
        <v>0.55722495185853094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1:I28"/>
  <sheetViews>
    <sheetView zoomScale="70" zoomScaleNormal="70" workbookViewId="0">
      <selection activeCell="E24" sqref="E24:F24"/>
    </sheetView>
  </sheetViews>
  <sheetFormatPr defaultRowHeight="15"/>
  <cols>
    <col min="3" max="3" width="19" customWidth="1"/>
    <col min="4" max="4" width="16.7109375" customWidth="1"/>
    <col min="5" max="5" width="13.7109375" bestFit="1" customWidth="1"/>
  </cols>
  <sheetData>
    <row r="1" spans="1:9">
      <c r="A1" s="44" t="s">
        <v>79</v>
      </c>
      <c r="B1" s="44" t="s">
        <v>80</v>
      </c>
      <c r="C1" s="44" t="s">
        <v>115</v>
      </c>
      <c r="D1" s="44" t="s">
        <v>118</v>
      </c>
      <c r="E1" s="44" t="s">
        <v>116</v>
      </c>
      <c r="F1" s="44" t="s">
        <v>117</v>
      </c>
      <c r="G1" s="58"/>
      <c r="H1" s="79" t="s">
        <v>5</v>
      </c>
      <c r="I1" s="104">
        <v>0</v>
      </c>
    </row>
    <row r="2" spans="1:9">
      <c r="A2" s="79">
        <v>0</v>
      </c>
      <c r="B2" s="101">
        <f>I1</f>
        <v>0</v>
      </c>
      <c r="C2" s="48">
        <f>B2+($I$4/2)-$I$4/(2*3^(1/2))</f>
        <v>2.1132486540518712E-2</v>
      </c>
      <c r="D2" s="48">
        <f>B2+($I$4/2)+$I$4/(2*3^(1/2))</f>
        <v>7.8867513459481287E-2</v>
      </c>
      <c r="E2" s="48">
        <f>1/SQRT(1-C2^2)</f>
        <v>1.0002233658098378</v>
      </c>
      <c r="F2" s="48">
        <f>1/SQRT(1-D2^2)</f>
        <v>1.003124626499927</v>
      </c>
      <c r="G2" s="58"/>
      <c r="H2" s="79" t="s">
        <v>6</v>
      </c>
      <c r="I2" s="104">
        <v>0.5</v>
      </c>
    </row>
    <row r="3" spans="1:9">
      <c r="A3" s="79">
        <v>1</v>
      </c>
      <c r="B3" s="101">
        <f>B2+$I$4</f>
        <v>0.1</v>
      </c>
      <c r="C3" s="48">
        <f t="shared" ref="C3:C6" si="0">B3+($I$4/2)-$I$4/(2*3^(1/2))</f>
        <v>0.12113248654051872</v>
      </c>
      <c r="D3" s="48">
        <f t="shared" ref="D3:D6" si="1">B3+($I$4/2)+$I$4/(2*3^(1/2))</f>
        <v>0.17886751345948132</v>
      </c>
      <c r="E3" s="48">
        <f t="shared" ref="E3:E6" si="2">1/SQRT(1-C3^2)</f>
        <v>1.0074182769329765</v>
      </c>
      <c r="F3" s="48">
        <f t="shared" ref="F3:F6" si="3">1/SQRT(1-D3^2)</f>
        <v>1.0163911686318734</v>
      </c>
      <c r="G3" s="58"/>
      <c r="H3" s="79" t="s">
        <v>113</v>
      </c>
      <c r="I3" s="104">
        <v>5</v>
      </c>
    </row>
    <row r="4" spans="1:9">
      <c r="A4" s="79">
        <v>2</v>
      </c>
      <c r="B4" s="101">
        <f t="shared" ref="B4:B7" si="4">B3+$I$4</f>
        <v>0.2</v>
      </c>
      <c r="C4" s="48">
        <f t="shared" si="0"/>
        <v>0.2211324865405187</v>
      </c>
      <c r="D4" s="48">
        <f t="shared" si="1"/>
        <v>0.2788675134594813</v>
      </c>
      <c r="E4" s="48">
        <f t="shared" si="2"/>
        <v>1.0253846517195098</v>
      </c>
      <c r="F4" s="48">
        <f t="shared" si="3"/>
        <v>1.0413091678565047</v>
      </c>
      <c r="G4" s="58"/>
      <c r="H4" s="79" t="s">
        <v>114</v>
      </c>
      <c r="I4" s="104">
        <f>ABS(I2-I1)/I3</f>
        <v>0.1</v>
      </c>
    </row>
    <row r="5" spans="1:9">
      <c r="A5" s="79">
        <v>3</v>
      </c>
      <c r="B5" s="101">
        <f t="shared" si="4"/>
        <v>0.30000000000000004</v>
      </c>
      <c r="C5" s="48">
        <f t="shared" si="0"/>
        <v>0.32113248654051874</v>
      </c>
      <c r="D5" s="48">
        <f t="shared" si="1"/>
        <v>0.37886751345948133</v>
      </c>
      <c r="E5" s="48">
        <f t="shared" si="2"/>
        <v>1.0559279868774001</v>
      </c>
      <c r="F5" s="48">
        <f t="shared" si="3"/>
        <v>1.0805543300787193</v>
      </c>
      <c r="G5" s="58"/>
      <c r="H5" s="58"/>
      <c r="I5" s="58"/>
    </row>
    <row r="6" spans="1:9">
      <c r="A6" s="79">
        <v>4</v>
      </c>
      <c r="B6" s="101">
        <f t="shared" si="4"/>
        <v>0.4</v>
      </c>
      <c r="C6" s="48">
        <f t="shared" si="0"/>
        <v>0.42113248654051871</v>
      </c>
      <c r="D6" s="48">
        <f t="shared" si="1"/>
        <v>0.47886751345948131</v>
      </c>
      <c r="E6" s="48">
        <f t="shared" si="2"/>
        <v>1.1025368853111179</v>
      </c>
      <c r="F6" s="48">
        <f t="shared" si="3"/>
        <v>1.1390985315111768</v>
      </c>
      <c r="G6" s="58"/>
      <c r="H6" s="58"/>
      <c r="I6" s="58"/>
    </row>
    <row r="7" spans="1:9">
      <c r="A7" s="101">
        <v>5</v>
      </c>
      <c r="B7" s="101">
        <f t="shared" si="4"/>
        <v>0.5</v>
      </c>
      <c r="C7" s="125" t="s">
        <v>119</v>
      </c>
      <c r="D7" s="125"/>
      <c r="E7" s="102">
        <f>SUM(E2:E6)</f>
        <v>5.1914911666508416</v>
      </c>
      <c r="F7" s="102">
        <f>SUM(F2:F6)</f>
        <v>5.2804778245782016</v>
      </c>
      <c r="G7" s="58"/>
      <c r="H7" s="58"/>
      <c r="I7" s="58"/>
    </row>
    <row r="8" spans="1:9">
      <c r="A8" s="58"/>
      <c r="B8" s="58"/>
      <c r="C8" s="58"/>
      <c r="D8" s="101" t="s">
        <v>120</v>
      </c>
      <c r="E8" s="61">
        <f>SUM(E7:F7)</f>
        <v>10.471968991229044</v>
      </c>
      <c r="F8" s="58"/>
      <c r="G8" s="58"/>
      <c r="H8" s="58"/>
      <c r="I8" s="58"/>
    </row>
    <row r="9" spans="1:9">
      <c r="A9" s="58"/>
      <c r="B9" s="58"/>
      <c r="C9" s="58"/>
      <c r="D9" s="58"/>
      <c r="E9" s="58"/>
      <c r="F9" s="58"/>
      <c r="G9" s="58"/>
      <c r="H9" s="58"/>
      <c r="I9" s="58"/>
    </row>
    <row r="10" spans="1:9">
      <c r="A10" s="58"/>
      <c r="B10" s="58"/>
      <c r="C10" s="58"/>
      <c r="D10" s="101" t="s">
        <v>121</v>
      </c>
      <c r="E10" s="105">
        <f>E8*I4/2</f>
        <v>0.52359844956145218</v>
      </c>
      <c r="F10" s="58"/>
      <c r="G10" s="58"/>
      <c r="H10" s="58"/>
      <c r="I10" s="58"/>
    </row>
    <row r="11" spans="1:9">
      <c r="A11" s="58"/>
      <c r="B11" s="58"/>
      <c r="C11" s="58"/>
      <c r="D11" s="58"/>
      <c r="E11" s="58"/>
      <c r="F11" s="58"/>
      <c r="G11" s="58"/>
      <c r="H11" s="58"/>
      <c r="I11" s="58"/>
    </row>
    <row r="12" spans="1:9">
      <c r="A12" s="58"/>
      <c r="B12" s="58"/>
      <c r="C12" s="58"/>
      <c r="D12" s="58"/>
      <c r="E12" s="58"/>
      <c r="F12" s="58"/>
      <c r="G12" s="58"/>
      <c r="H12" s="58"/>
      <c r="I12" s="58"/>
    </row>
    <row r="13" spans="1:9">
      <c r="A13" s="44" t="s">
        <v>79</v>
      </c>
      <c r="B13" s="44" t="s">
        <v>80</v>
      </c>
      <c r="C13" s="44" t="s">
        <v>115</v>
      </c>
      <c r="D13" s="44" t="s">
        <v>118</v>
      </c>
      <c r="E13" s="44" t="s">
        <v>116</v>
      </c>
      <c r="F13" s="44" t="s">
        <v>117</v>
      </c>
      <c r="G13" s="58"/>
      <c r="H13" s="79" t="s">
        <v>5</v>
      </c>
      <c r="I13" s="104">
        <v>0</v>
      </c>
    </row>
    <row r="14" spans="1:9">
      <c r="A14" s="79">
        <v>0</v>
      </c>
      <c r="B14" s="101">
        <f>I13</f>
        <v>0</v>
      </c>
      <c r="C14" s="103">
        <f>B14+($I$16/2)-$I$16/(2*3^(1/2))</f>
        <v>1.0566243270259356E-2</v>
      </c>
      <c r="D14" s="103">
        <f>B14+($I$16/2)+$I$16/(2*3^(1/2))</f>
        <v>3.9433756729740643E-2</v>
      </c>
      <c r="E14" s="103">
        <f>1/SQRT(1-C14^2)</f>
        <v>1.000055827423127</v>
      </c>
      <c r="F14" s="103">
        <f>1/SQRT(1-D14^2)</f>
        <v>1.0007784185456328</v>
      </c>
      <c r="G14" s="58"/>
      <c r="H14" s="79" t="s">
        <v>6</v>
      </c>
      <c r="I14" s="104">
        <v>0.5</v>
      </c>
    </row>
    <row r="15" spans="1:9">
      <c r="A15" s="79">
        <v>1</v>
      </c>
      <c r="B15" s="101">
        <f>B14+$I$16</f>
        <v>0.05</v>
      </c>
      <c r="C15" s="103">
        <f t="shared" ref="C15:C23" si="5">B15+($I$16/2)-$I$16/(2*3^(1/2))</f>
        <v>6.0566243270259362E-2</v>
      </c>
      <c r="D15" s="103">
        <f t="shared" ref="D15:D23" si="6">B15+($I$16/2)+$I$16/(2*3^(1/2))</f>
        <v>8.943375672974066E-2</v>
      </c>
      <c r="E15" s="103">
        <f t="shared" ref="E15:E23" si="7">1/SQRT(1-C15^2)</f>
        <v>1.0018391964632321</v>
      </c>
      <c r="F15" s="103">
        <f t="shared" ref="F15:F23" si="8">1/SQRT(1-D15^2)</f>
        <v>1.0040233498344655</v>
      </c>
      <c r="G15" s="58"/>
      <c r="H15" s="79" t="s">
        <v>113</v>
      </c>
      <c r="I15" s="104">
        <v>10</v>
      </c>
    </row>
    <row r="16" spans="1:9">
      <c r="A16" s="79">
        <v>2</v>
      </c>
      <c r="B16" s="101">
        <f t="shared" ref="B16:B24" si="9">B15+$I$16</f>
        <v>0.1</v>
      </c>
      <c r="C16" s="103">
        <f t="shared" si="5"/>
        <v>0.11056624327025935</v>
      </c>
      <c r="D16" s="103">
        <f t="shared" si="6"/>
        <v>0.13943375672974065</v>
      </c>
      <c r="E16" s="103">
        <f t="shared" si="7"/>
        <v>1.0061690671976886</v>
      </c>
      <c r="F16" s="103">
        <f t="shared" si="8"/>
        <v>1.0098649659177128</v>
      </c>
      <c r="G16" s="58"/>
      <c r="H16" s="79" t="s">
        <v>114</v>
      </c>
      <c r="I16" s="104">
        <f>ABS(I14-I13)/I15</f>
        <v>0.05</v>
      </c>
    </row>
    <row r="17" spans="1:9">
      <c r="A17" s="79">
        <v>3</v>
      </c>
      <c r="B17" s="101">
        <f t="shared" si="9"/>
        <v>0.15000000000000002</v>
      </c>
      <c r="C17" s="103">
        <f t="shared" si="5"/>
        <v>0.16056624327025937</v>
      </c>
      <c r="D17" s="103">
        <f t="shared" si="6"/>
        <v>0.18943375672974067</v>
      </c>
      <c r="E17" s="103">
        <f t="shared" si="7"/>
        <v>1.0131454956251797</v>
      </c>
      <c r="F17" s="103">
        <f t="shared" si="8"/>
        <v>1.0184403875217682</v>
      </c>
      <c r="G17" s="58"/>
      <c r="H17" s="58"/>
      <c r="I17" s="58"/>
    </row>
    <row r="18" spans="1:9">
      <c r="A18" s="79">
        <v>4</v>
      </c>
      <c r="B18" s="101">
        <f t="shared" si="9"/>
        <v>0.2</v>
      </c>
      <c r="C18" s="103">
        <f t="shared" si="5"/>
        <v>0.21056624327025936</v>
      </c>
      <c r="D18" s="103">
        <f t="shared" si="6"/>
        <v>0.23943375672974065</v>
      </c>
      <c r="E18" s="103">
        <f t="shared" si="7"/>
        <v>1.0229346121463538</v>
      </c>
      <c r="F18" s="103">
        <f t="shared" si="8"/>
        <v>1.0299587154292127</v>
      </c>
      <c r="G18" s="58"/>
      <c r="H18" s="58"/>
      <c r="I18" s="58"/>
    </row>
    <row r="19" spans="1:9">
      <c r="A19" s="79">
        <v>5</v>
      </c>
      <c r="B19" s="101">
        <f t="shared" si="9"/>
        <v>0.25</v>
      </c>
      <c r="C19" s="103">
        <f t="shared" si="5"/>
        <v>0.2605662432702594</v>
      </c>
      <c r="D19" s="103">
        <f t="shared" si="6"/>
        <v>0.28943375672974064</v>
      </c>
      <c r="E19" s="103">
        <f t="shared" si="7"/>
        <v>1.035780014355465</v>
      </c>
      <c r="F19" s="103">
        <f t="shared" si="8"/>
        <v>1.0447158804016585</v>
      </c>
      <c r="G19" s="58"/>
      <c r="H19" s="58"/>
      <c r="I19" s="58"/>
    </row>
    <row r="20" spans="1:9">
      <c r="A20" s="79">
        <v>6</v>
      </c>
      <c r="B20" s="101">
        <f t="shared" si="9"/>
        <v>0.3</v>
      </c>
      <c r="C20" s="103">
        <f t="shared" si="5"/>
        <v>0.31056624327025939</v>
      </c>
      <c r="D20" s="103">
        <f t="shared" si="6"/>
        <v>0.33943375672974063</v>
      </c>
      <c r="E20" s="103">
        <f t="shared" si="7"/>
        <v>1.0520205886300786</v>
      </c>
      <c r="F20" s="103">
        <f t="shared" si="8"/>
        <v>1.0631173157869778</v>
      </c>
      <c r="G20" s="58"/>
      <c r="H20" s="58"/>
      <c r="I20" s="58"/>
    </row>
    <row r="21" spans="1:9">
      <c r="A21" s="79">
        <v>7</v>
      </c>
      <c r="B21" s="101">
        <f t="shared" si="9"/>
        <v>0.35</v>
      </c>
      <c r="C21" s="103">
        <f t="shared" si="5"/>
        <v>0.36056624327025938</v>
      </c>
      <c r="D21" s="103">
        <f t="shared" si="6"/>
        <v>0.38943375672974062</v>
      </c>
      <c r="E21" s="103">
        <f t="shared" si="7"/>
        <v>1.0721174738516237</v>
      </c>
      <c r="F21" s="103">
        <f t="shared" si="8"/>
        <v>1.0857121106901793</v>
      </c>
      <c r="G21" s="58"/>
      <c r="H21" s="58"/>
      <c r="I21" s="58"/>
    </row>
    <row r="22" spans="1:9">
      <c r="A22" s="79">
        <v>8</v>
      </c>
      <c r="B22" s="101">
        <f t="shared" si="9"/>
        <v>0.39999999999999997</v>
      </c>
      <c r="C22" s="103">
        <f t="shared" si="5"/>
        <v>0.41056624327025937</v>
      </c>
      <c r="D22" s="103">
        <f t="shared" si="6"/>
        <v>0.43943375672974061</v>
      </c>
      <c r="E22" s="103">
        <f t="shared" si="7"/>
        <v>1.0966947254147148</v>
      </c>
      <c r="F22" s="103">
        <f t="shared" si="8"/>
        <v>1.1132448318721915</v>
      </c>
      <c r="G22" s="58"/>
      <c r="H22" s="58"/>
      <c r="I22" s="58"/>
    </row>
    <row r="23" spans="1:9">
      <c r="A23" s="79">
        <v>9</v>
      </c>
      <c r="B23" s="101">
        <f t="shared" si="9"/>
        <v>0.44999999999999996</v>
      </c>
      <c r="C23" s="103">
        <f t="shared" si="5"/>
        <v>0.46056624327025936</v>
      </c>
      <c r="D23" s="103">
        <f t="shared" si="6"/>
        <v>0.4894337567297406</v>
      </c>
      <c r="E23" s="103">
        <f t="shared" si="7"/>
        <v>1.1266014617040421</v>
      </c>
      <c r="F23" s="103">
        <f t="shared" si="8"/>
        <v>1.1467357577801685</v>
      </c>
      <c r="G23" s="58"/>
      <c r="H23" s="58"/>
      <c r="I23" s="58"/>
    </row>
    <row r="24" spans="1:9">
      <c r="A24" s="79">
        <v>10</v>
      </c>
      <c r="B24" s="101">
        <f t="shared" si="9"/>
        <v>0.49999999999999994</v>
      </c>
      <c r="C24" s="128" t="s">
        <v>119</v>
      </c>
      <c r="D24" s="129"/>
      <c r="E24" s="108">
        <f>SUM(E14:E23)</f>
        <v>10.427358462811505</v>
      </c>
      <c r="F24" s="108">
        <f>SUM(F14:F23)</f>
        <v>10.516591733779967</v>
      </c>
      <c r="G24" s="58"/>
      <c r="H24" s="58"/>
      <c r="I24" s="58"/>
    </row>
    <row r="25" spans="1:9">
      <c r="A25" s="58"/>
      <c r="B25" s="58"/>
      <c r="C25" s="58"/>
      <c r="D25" s="101" t="s">
        <v>120</v>
      </c>
      <c r="E25" s="106">
        <f>SUM(E24:F24)</f>
        <v>20.943950196591473</v>
      </c>
      <c r="F25" s="58"/>
      <c r="G25" s="58"/>
      <c r="H25" s="58"/>
      <c r="I25" s="58"/>
    </row>
    <row r="26" spans="1:9">
      <c r="A26" s="58"/>
      <c r="B26" s="58"/>
      <c r="C26" s="58"/>
      <c r="D26" s="58"/>
      <c r="E26" s="58"/>
      <c r="F26" s="58"/>
      <c r="G26" s="58"/>
      <c r="H26" s="58"/>
      <c r="I26" s="58"/>
    </row>
    <row r="27" spans="1:9">
      <c r="A27" s="58"/>
      <c r="B27" s="58"/>
      <c r="C27" s="58"/>
      <c r="D27" s="101" t="s">
        <v>121</v>
      </c>
      <c r="E27" s="107">
        <f>E25*I16/2</f>
        <v>0.5235987549147868</v>
      </c>
      <c r="F27" s="58"/>
      <c r="G27" s="58"/>
      <c r="H27" s="58"/>
      <c r="I27" s="58"/>
    </row>
    <row r="28" spans="1:9">
      <c r="A28" s="58"/>
      <c r="B28" s="58"/>
      <c r="C28" s="58"/>
      <c r="D28" s="58"/>
      <c r="E28" s="58"/>
      <c r="F28" s="58"/>
      <c r="G28" s="58"/>
      <c r="H28" s="58"/>
      <c r="I28" s="58"/>
    </row>
  </sheetData>
  <mergeCells count="2">
    <mergeCell ref="C7:D7"/>
    <mergeCell ref="C24:D24"/>
  </mergeCells>
  <pageMargins left="0.7" right="0.7" top="0.75" bottom="0.75" header="0.3" footer="0.3"/>
  <pageSetup paperSize="0" orientation="portrait" horizontalDpi="0" verticalDpi="0" copies="0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dimension ref="A1:I32"/>
  <sheetViews>
    <sheetView topLeftCell="A13" zoomScaleNormal="100" workbookViewId="0">
      <selection activeCell="I30" sqref="I30"/>
    </sheetView>
  </sheetViews>
  <sheetFormatPr defaultRowHeight="15"/>
  <cols>
    <col min="3" max="3" width="19" customWidth="1"/>
    <col min="4" max="4" width="28.5703125" customWidth="1"/>
    <col min="5" max="5" width="15.7109375" customWidth="1"/>
    <col min="6" max="6" width="13.85546875" customWidth="1"/>
  </cols>
  <sheetData>
    <row r="1" spans="1:9">
      <c r="A1" s="44" t="s">
        <v>79</v>
      </c>
      <c r="B1" s="44" t="s">
        <v>80</v>
      </c>
      <c r="C1" s="44" t="s">
        <v>115</v>
      </c>
      <c r="D1" s="44" t="s">
        <v>118</v>
      </c>
      <c r="E1" s="44" t="s">
        <v>116</v>
      </c>
      <c r="F1" s="44" t="s">
        <v>117</v>
      </c>
      <c r="G1" s="58"/>
      <c r="H1" s="79" t="s">
        <v>5</v>
      </c>
      <c r="I1" s="104">
        <v>1.5</v>
      </c>
    </row>
    <row r="2" spans="1:9">
      <c r="A2" s="79">
        <v>0</v>
      </c>
      <c r="B2" s="101">
        <f>I1</f>
        <v>1.5</v>
      </c>
      <c r="C2" s="48">
        <f>B2+($I$4/2)-$I$4/(2*3^(1/2))</f>
        <v>1.5422649730810376</v>
      </c>
      <c r="D2" s="48">
        <f>B2+($I$4/2)+$I$4/(2*3^(1/2))</f>
        <v>1.6577350269189626</v>
      </c>
      <c r="E2" s="48">
        <f>C2^2*TAN(C2/2)</f>
        <v>2.3116671400404285</v>
      </c>
      <c r="F2" s="48">
        <f>D2^2*TAN(D2/2)</f>
        <v>2.9980224390003403</v>
      </c>
      <c r="G2" s="58"/>
      <c r="H2" s="79" t="s">
        <v>6</v>
      </c>
      <c r="I2" s="104">
        <v>2.5</v>
      </c>
    </row>
    <row r="3" spans="1:9">
      <c r="A3" s="79">
        <v>1</v>
      </c>
      <c r="B3" s="101">
        <f>B2+$I$4</f>
        <v>1.7</v>
      </c>
      <c r="C3" s="48">
        <f t="shared" ref="C3:C6" si="0">B3+($I$4/2)-$I$4/(2*3^(1/2))</f>
        <v>1.7422649730810376</v>
      </c>
      <c r="D3" s="48">
        <f t="shared" ref="D3:D6" si="1">B3+($I$4/2)+$I$4/(2*3^(1/2))</f>
        <v>1.8577350269189625</v>
      </c>
      <c r="E3" s="48">
        <f t="shared" ref="E3:E6" si="2">C3^2*TAN(C3/2)</f>
        <v>3.6063171283488646</v>
      </c>
      <c r="F3" s="48">
        <f t="shared" ref="F3:F6" si="3">D3^2*TAN(D3/2)</f>
        <v>4.6166772340387716</v>
      </c>
      <c r="G3" s="58"/>
      <c r="H3" s="79" t="s">
        <v>113</v>
      </c>
      <c r="I3" s="104">
        <v>5</v>
      </c>
    </row>
    <row r="4" spans="1:9">
      <c r="A4" s="79">
        <v>2</v>
      </c>
      <c r="B4" s="101">
        <f t="shared" ref="B4:B7" si="4">B3+$I$4</f>
        <v>1.9</v>
      </c>
      <c r="C4" s="48">
        <f t="shared" si="0"/>
        <v>1.9422649730810375</v>
      </c>
      <c r="D4" s="48">
        <f t="shared" si="1"/>
        <v>2.0577350269189627</v>
      </c>
      <c r="E4" s="48">
        <f t="shared" si="2"/>
        <v>5.5180713936033401</v>
      </c>
      <c r="F4" s="48">
        <f t="shared" si="3"/>
        <v>7.0330397744752835</v>
      </c>
      <c r="G4" s="58"/>
      <c r="H4" s="79" t="s">
        <v>114</v>
      </c>
      <c r="I4" s="104">
        <f>ABS(I2-I1)/I3</f>
        <v>0.2</v>
      </c>
    </row>
    <row r="5" spans="1:9">
      <c r="A5" s="79">
        <v>3</v>
      </c>
      <c r="B5" s="101">
        <f t="shared" si="4"/>
        <v>2.1</v>
      </c>
      <c r="C5" s="48">
        <f t="shared" si="0"/>
        <v>2.1422649730810375</v>
      </c>
      <c r="D5" s="48">
        <f t="shared" si="1"/>
        <v>2.2577350269189629</v>
      </c>
      <c r="E5" s="48">
        <f t="shared" si="2"/>
        <v>8.4073719630765034</v>
      </c>
      <c r="F5" s="48">
        <f t="shared" si="3"/>
        <v>10.773509913239455</v>
      </c>
      <c r="G5" s="58"/>
      <c r="H5" s="58"/>
      <c r="I5" s="58"/>
    </row>
    <row r="6" spans="1:9">
      <c r="A6" s="79">
        <v>4</v>
      </c>
      <c r="B6" s="101">
        <f t="shared" si="4"/>
        <v>2.3000000000000003</v>
      </c>
      <c r="C6" s="48">
        <f t="shared" si="0"/>
        <v>2.3422649730810376</v>
      </c>
      <c r="D6" s="48">
        <f t="shared" si="1"/>
        <v>2.4577350269189631</v>
      </c>
      <c r="E6" s="48">
        <f t="shared" si="2"/>
        <v>12.988266665814635</v>
      </c>
      <c r="F6" s="48">
        <f t="shared" si="3"/>
        <v>16.971949227137276</v>
      </c>
      <c r="G6" s="58"/>
      <c r="H6" s="58"/>
      <c r="I6" s="58"/>
    </row>
    <row r="7" spans="1:9">
      <c r="A7" s="101">
        <v>5</v>
      </c>
      <c r="B7" s="101">
        <f t="shared" si="4"/>
        <v>2.5000000000000004</v>
      </c>
      <c r="C7" s="125" t="s">
        <v>119</v>
      </c>
      <c r="D7" s="125"/>
      <c r="E7" s="102">
        <f>SUM(E2:E6)</f>
        <v>32.831694290883775</v>
      </c>
      <c r="F7" s="102">
        <f>SUM(F2:F6)</f>
        <v>42.393198587891128</v>
      </c>
      <c r="G7" s="58"/>
      <c r="H7" s="58"/>
      <c r="I7" s="58"/>
    </row>
    <row r="8" spans="1:9">
      <c r="A8" s="58"/>
      <c r="B8" s="58"/>
      <c r="C8" s="58"/>
      <c r="D8" s="101" t="s">
        <v>120</v>
      </c>
      <c r="E8" s="61">
        <f>SUM(E7:F7)</f>
        <v>75.224892878774909</v>
      </c>
      <c r="F8" s="58"/>
      <c r="G8" s="58"/>
      <c r="H8" s="58"/>
      <c r="I8" s="58"/>
    </row>
    <row r="9" spans="1:9">
      <c r="A9" s="58"/>
      <c r="B9" s="58"/>
      <c r="C9" s="58"/>
      <c r="D9" s="58"/>
      <c r="E9" s="58"/>
      <c r="F9" s="58"/>
      <c r="G9" s="58"/>
      <c r="H9" s="58"/>
      <c r="I9" s="58"/>
    </row>
    <row r="10" spans="1:9">
      <c r="A10" s="58"/>
      <c r="B10" s="58"/>
      <c r="C10" s="58"/>
      <c r="D10" s="101" t="s">
        <v>121</v>
      </c>
      <c r="E10" s="105">
        <f>E8*I4/2</f>
        <v>7.5224892878774909</v>
      </c>
      <c r="F10" s="58"/>
      <c r="G10" s="58"/>
      <c r="H10" s="58"/>
      <c r="I10" s="58"/>
    </row>
    <row r="11" spans="1:9">
      <c r="A11" s="58"/>
      <c r="B11" s="58"/>
      <c r="C11" s="58"/>
      <c r="D11" s="58"/>
      <c r="E11" s="58"/>
      <c r="F11" s="58"/>
      <c r="G11" s="58"/>
      <c r="H11" s="58"/>
      <c r="I11" s="58"/>
    </row>
    <row r="12" spans="1:9">
      <c r="A12" s="58"/>
      <c r="B12" s="58"/>
      <c r="C12" s="58"/>
      <c r="D12" s="58"/>
      <c r="E12" s="58"/>
      <c r="F12" s="58"/>
      <c r="G12" s="58"/>
      <c r="H12" s="58"/>
      <c r="I12" s="58"/>
    </row>
    <row r="13" spans="1:9">
      <c r="A13" s="44" t="s">
        <v>79</v>
      </c>
      <c r="B13" s="44" t="s">
        <v>80</v>
      </c>
      <c r="C13" s="44" t="s">
        <v>115</v>
      </c>
      <c r="D13" s="44" t="s">
        <v>118</v>
      </c>
      <c r="E13" s="44" t="s">
        <v>116</v>
      </c>
      <c r="F13" s="44" t="s">
        <v>117</v>
      </c>
      <c r="G13" s="58"/>
      <c r="H13" s="79" t="s">
        <v>5</v>
      </c>
      <c r="I13" s="104">
        <v>1.5</v>
      </c>
    </row>
    <row r="14" spans="1:9">
      <c r="A14" s="79">
        <v>0</v>
      </c>
      <c r="B14" s="101">
        <f>I13</f>
        <v>1.5</v>
      </c>
      <c r="C14" s="103">
        <f>B14+($I$16/2)-$I$16/(2*3^(1/2))</f>
        <v>1.5211324865405187</v>
      </c>
      <c r="D14" s="103">
        <f>B14+($I$16/2)+$I$16/(2*3^(1/2))</f>
        <v>1.5788675134594814</v>
      </c>
      <c r="E14" s="103">
        <f>(C14^2)*TAN(C14/2)</f>
        <v>2.2016915690671146</v>
      </c>
      <c r="F14" s="103">
        <f>(D14^2)*TAN(D14/2)</f>
        <v>2.5130242971879713</v>
      </c>
      <c r="G14" s="58"/>
      <c r="H14" s="79" t="s">
        <v>6</v>
      </c>
      <c r="I14" s="104">
        <v>2.5</v>
      </c>
    </row>
    <row r="15" spans="1:9">
      <c r="A15" s="79">
        <v>1</v>
      </c>
      <c r="B15" s="101">
        <f>B14+$I$16</f>
        <v>1.6</v>
      </c>
      <c r="C15" s="103">
        <f t="shared" ref="C15:C23" si="5">B15+($I$16/2)-$I$16/(2*3^(1/2))</f>
        <v>1.6211324865405188</v>
      </c>
      <c r="D15" s="103">
        <f t="shared" ref="D15:D23" si="6">B15+($I$16/2)+$I$16/(2*3^(1/2))</f>
        <v>1.6788675134594815</v>
      </c>
      <c r="E15" s="103">
        <f t="shared" ref="E15:E23" si="7">(C15^2)*TAN(C15/2)</f>
        <v>2.763802284978035</v>
      </c>
      <c r="F15" s="103">
        <f t="shared" ref="F15:F23" si="8">(D15^2)*TAN(D15/2)</f>
        <v>3.1409368157399231</v>
      </c>
      <c r="G15" s="58"/>
      <c r="H15" s="79" t="s">
        <v>113</v>
      </c>
      <c r="I15" s="104">
        <v>10</v>
      </c>
    </row>
    <row r="16" spans="1:9">
      <c r="A16" s="79">
        <v>2</v>
      </c>
      <c r="B16" s="101">
        <f t="shared" ref="B16:B24" si="9">B15+$I$16</f>
        <v>1.7000000000000002</v>
      </c>
      <c r="C16" s="103">
        <f t="shared" si="5"/>
        <v>1.7211324865405189</v>
      </c>
      <c r="D16" s="103">
        <f t="shared" si="6"/>
        <v>1.7788675134594816</v>
      </c>
      <c r="E16" s="103">
        <f t="shared" si="7"/>
        <v>3.4448165914532805</v>
      </c>
      <c r="F16" s="103">
        <f t="shared" si="8"/>
        <v>3.9022092598487874</v>
      </c>
      <c r="G16" s="58"/>
      <c r="H16" s="79" t="s">
        <v>114</v>
      </c>
      <c r="I16" s="104">
        <f>ABS(I14-I13)/I15</f>
        <v>0.1</v>
      </c>
    </row>
    <row r="17" spans="1:9">
      <c r="A17" s="79">
        <v>3</v>
      </c>
      <c r="B17" s="101">
        <f t="shared" si="9"/>
        <v>1.8000000000000003</v>
      </c>
      <c r="C17" s="103">
        <f t="shared" si="5"/>
        <v>1.821132486540519</v>
      </c>
      <c r="D17" s="103">
        <f t="shared" si="6"/>
        <v>1.8788675134594817</v>
      </c>
      <c r="E17" s="103">
        <f t="shared" si="7"/>
        <v>4.2712634634270676</v>
      </c>
      <c r="F17" s="103">
        <f t="shared" si="8"/>
        <v>4.827851651628067</v>
      </c>
      <c r="G17" s="58"/>
      <c r="H17" s="58"/>
      <c r="I17" s="58"/>
    </row>
    <row r="18" spans="1:9">
      <c r="A18" s="79">
        <v>4</v>
      </c>
      <c r="B18" s="101">
        <f t="shared" si="9"/>
        <v>1.9000000000000004</v>
      </c>
      <c r="C18" s="103">
        <f t="shared" si="5"/>
        <v>1.921132486540519</v>
      </c>
      <c r="D18" s="103">
        <f>B18+($I$16/2)+$I$16/(2*3^(1/2))</f>
        <v>1.9788675134594818</v>
      </c>
      <c r="E18" s="103">
        <f t="shared" si="7"/>
        <v>5.2780692075773779</v>
      </c>
      <c r="F18" s="103">
        <f t="shared" si="8"/>
        <v>5.9592322785761125</v>
      </c>
      <c r="G18" s="58"/>
      <c r="H18" s="58"/>
      <c r="I18" s="58"/>
    </row>
    <row r="19" spans="1:9">
      <c r="A19" s="79">
        <v>5</v>
      </c>
      <c r="B19" s="101">
        <f t="shared" si="9"/>
        <v>2.0000000000000004</v>
      </c>
      <c r="C19" s="103">
        <f t="shared" si="5"/>
        <v>2.0211324865405191</v>
      </c>
      <c r="D19" s="103">
        <f t="shared" si="6"/>
        <v>2.0788675134594814</v>
      </c>
      <c r="E19" s="103">
        <f t="shared" si="7"/>
        <v>6.5123086691076031</v>
      </c>
      <c r="F19" s="103">
        <f t="shared" si="8"/>
        <v>7.352954237548281</v>
      </c>
      <c r="G19" s="58"/>
      <c r="H19" s="58"/>
      <c r="I19" s="58"/>
    </row>
    <row r="20" spans="1:9">
      <c r="A20" s="79">
        <v>6</v>
      </c>
      <c r="B20" s="101">
        <f t="shared" si="9"/>
        <v>2.1000000000000005</v>
      </c>
      <c r="C20" s="103">
        <f t="shared" si="5"/>
        <v>2.1211324865405192</v>
      </c>
      <c r="D20" s="103">
        <f t="shared" si="6"/>
        <v>2.1788675134594815</v>
      </c>
      <c r="E20" s="103">
        <f t="shared" si="7"/>
        <v>8.0391601621562696</v>
      </c>
      <c r="F20" s="103">
        <f t="shared" si="8"/>
        <v>9.0887692735487828</v>
      </c>
      <c r="G20" s="58"/>
      <c r="H20" s="58"/>
      <c r="I20" s="58"/>
    </row>
    <row r="21" spans="1:9">
      <c r="A21" s="79">
        <v>7</v>
      </c>
      <c r="B21" s="101">
        <f t="shared" si="9"/>
        <v>2.2000000000000006</v>
      </c>
      <c r="C21" s="103">
        <f t="shared" si="5"/>
        <v>2.2211324865405193</v>
      </c>
      <c r="D21" s="103">
        <f t="shared" si="6"/>
        <v>2.2788675134594816</v>
      </c>
      <c r="E21" s="103">
        <f t="shared" si="7"/>
        <v>9.9517401480425605</v>
      </c>
      <c r="F21" s="103">
        <f t="shared" si="8"/>
        <v>11.282993424616965</v>
      </c>
      <c r="G21" s="58"/>
      <c r="H21" s="58"/>
      <c r="I21" s="58"/>
    </row>
    <row r="22" spans="1:9">
      <c r="A22" s="79">
        <v>8</v>
      </c>
      <c r="B22" s="101">
        <f t="shared" si="9"/>
        <v>2.3000000000000007</v>
      </c>
      <c r="C22" s="103">
        <f t="shared" si="5"/>
        <v>2.3211324865405194</v>
      </c>
      <c r="D22" s="103">
        <f t="shared" si="6"/>
        <v>2.3788675134594817</v>
      </c>
      <c r="E22" s="103">
        <f t="shared" si="7"/>
        <v>12.388127877914096</v>
      </c>
      <c r="F22" s="103">
        <f t="shared" si="8"/>
        <v>14.112473901130056</v>
      </c>
      <c r="G22" s="58"/>
      <c r="H22" s="58"/>
      <c r="I22" s="58"/>
    </row>
    <row r="23" spans="1:9">
      <c r="A23" s="79">
        <v>9</v>
      </c>
      <c r="B23" s="101">
        <f t="shared" si="9"/>
        <v>2.4000000000000008</v>
      </c>
      <c r="C23" s="103">
        <f t="shared" si="5"/>
        <v>2.4211324865405195</v>
      </c>
      <c r="D23" s="103">
        <f t="shared" si="6"/>
        <v>2.4788675134594818</v>
      </c>
      <c r="E23" s="103">
        <f t="shared" si="7"/>
        <v>15.562565848594311</v>
      </c>
      <c r="F23" s="103">
        <f t="shared" si="8"/>
        <v>17.86025194117278</v>
      </c>
      <c r="G23" s="58"/>
      <c r="H23" s="58"/>
      <c r="I23" s="58"/>
    </row>
    <row r="24" spans="1:9">
      <c r="A24" s="79">
        <v>10</v>
      </c>
      <c r="B24" s="101">
        <f t="shared" si="9"/>
        <v>2.5000000000000009</v>
      </c>
      <c r="C24" s="128" t="s">
        <v>119</v>
      </c>
      <c r="D24" s="129"/>
      <c r="E24" s="108">
        <f>SUM(E14:E23)</f>
        <v>70.413545822317715</v>
      </c>
      <c r="F24" s="108">
        <f>SUM(F14:F23)</f>
        <v>80.040697080997731</v>
      </c>
      <c r="G24" s="58"/>
      <c r="H24" s="58"/>
      <c r="I24" s="58"/>
    </row>
    <row r="25" spans="1:9">
      <c r="A25" s="58"/>
      <c r="B25" s="58"/>
      <c r="C25" s="58"/>
      <c r="D25" s="101" t="s">
        <v>120</v>
      </c>
      <c r="E25" s="106">
        <f>SUM(E24:F24)</f>
        <v>150.45424290331545</v>
      </c>
      <c r="F25" s="58"/>
      <c r="G25" s="58"/>
      <c r="H25" s="58"/>
      <c r="I25" s="58"/>
    </row>
    <row r="26" spans="1:9">
      <c r="A26" s="58"/>
      <c r="B26" s="58"/>
      <c r="C26" s="58"/>
      <c r="D26" s="58"/>
      <c r="E26" s="58"/>
      <c r="F26" s="58"/>
      <c r="G26" s="58"/>
      <c r="H26" s="58"/>
      <c r="I26" s="58"/>
    </row>
    <row r="27" spans="1:9">
      <c r="A27" s="58"/>
      <c r="B27" s="58"/>
      <c r="C27" s="58"/>
      <c r="D27" s="101" t="s">
        <v>121</v>
      </c>
      <c r="E27" s="107">
        <f>E25*I16/2</f>
        <v>7.522712145165773</v>
      </c>
      <c r="F27" s="58"/>
      <c r="G27" s="58"/>
      <c r="H27" s="58"/>
      <c r="I27" s="58"/>
    </row>
    <row r="28" spans="1:9">
      <c r="A28" s="58"/>
      <c r="B28" s="58"/>
      <c r="C28" s="58"/>
      <c r="D28" s="58"/>
      <c r="E28" s="58"/>
      <c r="F28" s="58"/>
      <c r="G28" s="58"/>
      <c r="H28" s="58"/>
      <c r="I28" s="58"/>
    </row>
    <row r="29" spans="1:9">
      <c r="D29" s="19" t="s">
        <v>122</v>
      </c>
      <c r="E29" s="109">
        <v>7.5227277099999998</v>
      </c>
    </row>
    <row r="31" spans="1:9">
      <c r="D31" s="19" t="s">
        <v>123</v>
      </c>
      <c r="E31" s="109">
        <f>ABS(E29-E27)</f>
        <v>1.55648342268222E-5</v>
      </c>
    </row>
    <row r="32" spans="1:9">
      <c r="D32" s="19" t="s">
        <v>124</v>
      </c>
      <c r="E32" s="110">
        <f>E31/E29</f>
        <v>2.0690412875281644E-6</v>
      </c>
    </row>
  </sheetData>
  <mergeCells count="2">
    <mergeCell ref="C7:D7"/>
    <mergeCell ref="C24:D24"/>
  </mergeCells>
  <pageMargins left="0.7" right="0.7" top="0.75" bottom="0.75" header="0.3" footer="0.3"/>
  <pageSetup paperSize="0" orientation="portrait" horizontalDpi="0" verticalDpi="0" copies="0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dimension ref="A1:J4"/>
  <sheetViews>
    <sheetView workbookViewId="0">
      <selection activeCell="G4" sqref="G4"/>
    </sheetView>
  </sheetViews>
  <sheetFormatPr defaultRowHeight="15"/>
  <cols>
    <col min="3" max="7" width="9.5703125" bestFit="1" customWidth="1"/>
  </cols>
  <sheetData>
    <row r="1" spans="1:10">
      <c r="A1" s="2" t="s">
        <v>11</v>
      </c>
      <c r="B1" s="2">
        <v>0</v>
      </c>
      <c r="C1" s="2">
        <v>1</v>
      </c>
      <c r="D1" s="2">
        <v>2</v>
      </c>
      <c r="E1" s="2">
        <v>3</v>
      </c>
      <c r="F1" s="2">
        <v>4</v>
      </c>
      <c r="G1" s="2">
        <v>5</v>
      </c>
      <c r="I1" s="112" t="s">
        <v>77</v>
      </c>
      <c r="J1" s="112">
        <v>0.2</v>
      </c>
    </row>
    <row r="2" spans="1:10">
      <c r="A2" s="2" t="s">
        <v>125</v>
      </c>
      <c r="B2" s="113">
        <v>0</v>
      </c>
      <c r="C2" s="2">
        <f>B2+$J$1</f>
        <v>0.2</v>
      </c>
      <c r="D2" s="2">
        <f>C2+$J$1</f>
        <v>0.4</v>
      </c>
      <c r="E2" s="2">
        <f>D2+$J$1</f>
        <v>0.60000000000000009</v>
      </c>
      <c r="F2" s="2">
        <f>E2+$J$1</f>
        <v>0.8</v>
      </c>
      <c r="G2" s="2">
        <f>F2+$J$1</f>
        <v>1</v>
      </c>
      <c r="H2" s="112"/>
      <c r="I2" s="112"/>
    </row>
    <row r="3" spans="1:10">
      <c r="A3" s="114" t="s">
        <v>126</v>
      </c>
      <c r="B3" s="113">
        <f>EXP(B2)</f>
        <v>1</v>
      </c>
      <c r="C3" s="115">
        <f>B3-B3*$J$1</f>
        <v>0.8</v>
      </c>
      <c r="D3" s="115">
        <f t="shared" ref="D3:G3" si="0">C3-C3*$J$1</f>
        <v>0.64</v>
      </c>
      <c r="E3" s="115">
        <f t="shared" si="0"/>
        <v>0.51200000000000001</v>
      </c>
      <c r="F3" s="115">
        <f t="shared" si="0"/>
        <v>0.40960000000000002</v>
      </c>
      <c r="G3" s="115">
        <f t="shared" si="0"/>
        <v>0.32768000000000003</v>
      </c>
      <c r="H3" s="9" t="s">
        <v>128</v>
      </c>
      <c r="I3" s="112"/>
    </row>
    <row r="4" spans="1:10">
      <c r="A4" s="31" t="s">
        <v>127</v>
      </c>
      <c r="B4" s="31">
        <f>EXP(-B2)</f>
        <v>1</v>
      </c>
      <c r="C4" s="116">
        <f t="shared" ref="C4:G4" si="1">EXP(-C2)</f>
        <v>0.81873075307798182</v>
      </c>
      <c r="D4" s="116">
        <f t="shared" si="1"/>
        <v>0.67032004603563933</v>
      </c>
      <c r="E4" s="116">
        <f t="shared" si="1"/>
        <v>0.54881163609402639</v>
      </c>
      <c r="F4" s="116">
        <f t="shared" si="1"/>
        <v>0.44932896411722156</v>
      </c>
      <c r="G4" s="116">
        <f t="shared" si="1"/>
        <v>0.36787944117144233</v>
      </c>
      <c r="H4" s="9" t="s">
        <v>129</v>
      </c>
      <c r="I4" s="112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dimension ref="A1:Z73"/>
  <sheetViews>
    <sheetView zoomScale="130" zoomScaleNormal="130" workbookViewId="0">
      <selection activeCell="C3" sqref="C3"/>
    </sheetView>
  </sheetViews>
  <sheetFormatPr defaultRowHeight="15"/>
  <cols>
    <col min="3" max="3" width="14.5703125" customWidth="1"/>
    <col min="4" max="4" width="8.5703125" customWidth="1"/>
    <col min="24" max="24" width="13" customWidth="1"/>
  </cols>
  <sheetData>
    <row r="1" spans="1:7">
      <c r="A1" s="111" t="s">
        <v>79</v>
      </c>
      <c r="B1" s="111" t="s">
        <v>80</v>
      </c>
      <c r="C1" s="80" t="s">
        <v>65</v>
      </c>
      <c r="D1" s="119" t="s">
        <v>130</v>
      </c>
      <c r="F1" s="111" t="s">
        <v>77</v>
      </c>
      <c r="G1" s="118">
        <v>0.1</v>
      </c>
    </row>
    <row r="2" spans="1:7">
      <c r="A2" s="111">
        <v>0</v>
      </c>
      <c r="B2" s="117">
        <v>1</v>
      </c>
      <c r="C2" s="120">
        <v>0</v>
      </c>
      <c r="D2" s="121">
        <f>(-3/B2)+3</f>
        <v>0</v>
      </c>
    </row>
    <row r="3" spans="1:7">
      <c r="A3" s="111">
        <v>1</v>
      </c>
      <c r="B3" s="111">
        <f>B2+$G$1</f>
        <v>1.1000000000000001</v>
      </c>
      <c r="C3" s="49">
        <f>C2+$G$1*((3/B2)-(C2/B2))</f>
        <v>0.30000000000000004</v>
      </c>
      <c r="D3" s="121">
        <f t="shared" ref="D3:D12" si="0">(-3/B3)+3</f>
        <v>0.27272727272727293</v>
      </c>
    </row>
    <row r="4" spans="1:7">
      <c r="A4" s="111">
        <v>2</v>
      </c>
      <c r="B4" s="111">
        <f t="shared" ref="B4:B12" si="1">B3+$G$1</f>
        <v>1.2000000000000002</v>
      </c>
      <c r="C4" s="49">
        <f t="shared" ref="C4:C12" si="2">C3+$G$1*((3/B3)-(C3/B3))</f>
        <v>0.54545454545454541</v>
      </c>
      <c r="D4" s="121">
        <f t="shared" si="0"/>
        <v>0.50000000000000044</v>
      </c>
    </row>
    <row r="5" spans="1:7">
      <c r="A5" s="111">
        <v>3</v>
      </c>
      <c r="B5" s="111">
        <f t="shared" si="1"/>
        <v>1.3000000000000003</v>
      </c>
      <c r="C5" s="49">
        <f t="shared" si="2"/>
        <v>0.74999999999999989</v>
      </c>
      <c r="D5" s="121">
        <f t="shared" si="0"/>
        <v>0.69230769230769296</v>
      </c>
    </row>
    <row r="6" spans="1:7">
      <c r="A6" s="111">
        <v>4</v>
      </c>
      <c r="B6" s="111">
        <f t="shared" si="1"/>
        <v>1.4000000000000004</v>
      </c>
      <c r="C6" s="49">
        <f t="shared" si="2"/>
        <v>0.92307692307692291</v>
      </c>
      <c r="D6" s="121">
        <f t="shared" si="0"/>
        <v>0.85714285714285765</v>
      </c>
    </row>
    <row r="7" spans="1:7">
      <c r="A7" s="111">
        <v>5</v>
      </c>
      <c r="B7" s="111">
        <f t="shared" si="1"/>
        <v>1.5000000000000004</v>
      </c>
      <c r="C7" s="49">
        <f t="shared" si="2"/>
        <v>1.0714285714285712</v>
      </c>
      <c r="D7" s="121">
        <f t="shared" si="0"/>
        <v>1.0000000000000007</v>
      </c>
    </row>
    <row r="8" spans="1:7">
      <c r="A8" s="111">
        <v>6</v>
      </c>
      <c r="B8" s="111">
        <f t="shared" si="1"/>
        <v>1.6000000000000005</v>
      </c>
      <c r="C8" s="49">
        <f t="shared" si="2"/>
        <v>1.1999999999999997</v>
      </c>
      <c r="D8" s="121">
        <f t="shared" si="0"/>
        <v>1.1250000000000007</v>
      </c>
    </row>
    <row r="9" spans="1:7">
      <c r="A9" s="111">
        <v>7</v>
      </c>
      <c r="B9" s="111">
        <f t="shared" si="1"/>
        <v>1.7000000000000006</v>
      </c>
      <c r="C9" s="49">
        <f t="shared" si="2"/>
        <v>1.3124999999999998</v>
      </c>
      <c r="D9" s="121">
        <f t="shared" si="0"/>
        <v>1.2352941176470595</v>
      </c>
    </row>
    <row r="10" spans="1:7">
      <c r="A10" s="111">
        <v>8</v>
      </c>
      <c r="B10" s="111">
        <f t="shared" si="1"/>
        <v>1.8000000000000007</v>
      </c>
      <c r="C10" s="49">
        <f t="shared" si="2"/>
        <v>1.4117647058823528</v>
      </c>
      <c r="D10" s="121">
        <f t="shared" si="0"/>
        <v>1.3333333333333339</v>
      </c>
    </row>
    <row r="11" spans="1:7">
      <c r="A11" s="111">
        <v>9</v>
      </c>
      <c r="B11" s="111">
        <f t="shared" si="1"/>
        <v>1.9000000000000008</v>
      </c>
      <c r="C11" s="49">
        <f t="shared" si="2"/>
        <v>1.4999999999999998</v>
      </c>
      <c r="D11" s="121">
        <f t="shared" si="0"/>
        <v>1.421052631578948</v>
      </c>
    </row>
    <row r="12" spans="1:7">
      <c r="A12" s="111">
        <v>10</v>
      </c>
      <c r="B12" s="111">
        <f t="shared" si="1"/>
        <v>2.0000000000000009</v>
      </c>
      <c r="C12" s="49">
        <f t="shared" si="2"/>
        <v>1.5789473684210524</v>
      </c>
      <c r="D12" s="121">
        <f t="shared" si="0"/>
        <v>1.5000000000000007</v>
      </c>
    </row>
    <row r="13" spans="1:7">
      <c r="C13" s="80" t="s">
        <v>131</v>
      </c>
      <c r="D13" s="119" t="s">
        <v>132</v>
      </c>
    </row>
    <row r="73" spans="24:26">
      <c r="X73" t="s">
        <v>133</v>
      </c>
      <c r="Z73" t="s">
        <v>134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dimension ref="A1:H13"/>
  <sheetViews>
    <sheetView zoomScaleNormal="100" workbookViewId="0">
      <selection activeCell="E12" sqref="E12"/>
    </sheetView>
  </sheetViews>
  <sheetFormatPr defaultRowHeight="15"/>
  <cols>
    <col min="1" max="2" width="9.140625" style="58"/>
    <col min="3" max="3" width="18.7109375" style="58" customWidth="1"/>
    <col min="4" max="4" width="14.5703125" style="58" customWidth="1"/>
    <col min="5" max="5" width="22.42578125" style="58" customWidth="1"/>
    <col min="6" max="16384" width="9.140625" style="58"/>
  </cols>
  <sheetData>
    <row r="1" spans="1:8">
      <c r="A1" s="122" t="s">
        <v>79</v>
      </c>
      <c r="B1" s="122" t="s">
        <v>80</v>
      </c>
      <c r="C1" s="104" t="s">
        <v>65</v>
      </c>
      <c r="D1" s="123" t="s">
        <v>130</v>
      </c>
      <c r="E1" s="119" t="s">
        <v>136</v>
      </c>
      <c r="G1" s="134" t="s">
        <v>77</v>
      </c>
      <c r="H1" s="118">
        <v>0.1</v>
      </c>
    </row>
    <row r="2" spans="1:8">
      <c r="A2" s="122">
        <v>0</v>
      </c>
      <c r="B2" s="130">
        <v>1</v>
      </c>
      <c r="C2" s="131">
        <v>0</v>
      </c>
      <c r="D2" s="132">
        <f>3-3/B2</f>
        <v>0</v>
      </c>
      <c r="E2" s="131">
        <v>0</v>
      </c>
      <c r="G2" s="135"/>
    </row>
    <row r="3" spans="1:8">
      <c r="A3" s="122">
        <v>1</v>
      </c>
      <c r="B3" s="122">
        <f>B2+$H$1</f>
        <v>1.1000000000000001</v>
      </c>
      <c r="C3" s="133">
        <f>C2+$H$1*(3/B2-C2/B2)</f>
        <v>0.30000000000000004</v>
      </c>
      <c r="D3" s="132">
        <f t="shared" ref="D3:D12" si="0">3-3/B3</f>
        <v>0.27272727272727293</v>
      </c>
      <c r="E3" s="121">
        <f>E2+H1*(3/(B2+H1/2)-H3/(B2+H1/2))</f>
        <v>0.27142857142857146</v>
      </c>
      <c r="G3" s="134" t="s">
        <v>137</v>
      </c>
      <c r="H3" s="79">
        <f>E2+H1/2*(3/B2-E2/B2)</f>
        <v>0.15000000000000002</v>
      </c>
    </row>
    <row r="4" spans="1:8">
      <c r="A4" s="122">
        <v>2</v>
      </c>
      <c r="B4" s="122">
        <f t="shared" ref="B4:B12" si="1">B3+$H$1</f>
        <v>1.2000000000000002</v>
      </c>
      <c r="C4" s="133">
        <f t="shared" ref="C4:C12" si="2">C3+$H$1*(3/B3-C3/B3)</f>
        <v>0.54545454545454541</v>
      </c>
      <c r="D4" s="132">
        <f t="shared" si="0"/>
        <v>0.50000000000000044</v>
      </c>
      <c r="E4" s="121">
        <f>E2+2*$H$1*(3/B3-E3/B3)</f>
        <v>0.4961038961038961</v>
      </c>
    </row>
    <row r="5" spans="1:8">
      <c r="A5" s="122">
        <v>3</v>
      </c>
      <c r="B5" s="122">
        <f t="shared" si="1"/>
        <v>1.3000000000000003</v>
      </c>
      <c r="C5" s="133">
        <f t="shared" si="2"/>
        <v>0.74999999999999989</v>
      </c>
      <c r="D5" s="132">
        <f t="shared" si="0"/>
        <v>0.69230769230769296</v>
      </c>
      <c r="E5" s="121">
        <f>E3+2*$H$1*(3/B4-E4/B4)</f>
        <v>0.68874458874458877</v>
      </c>
    </row>
    <row r="6" spans="1:8">
      <c r="A6" s="122">
        <v>4</v>
      </c>
      <c r="B6" s="122">
        <f t="shared" si="1"/>
        <v>1.4000000000000004</v>
      </c>
      <c r="C6" s="133">
        <f t="shared" si="2"/>
        <v>0.92307692307692291</v>
      </c>
      <c r="D6" s="132">
        <f t="shared" si="0"/>
        <v>0.85714285714285765</v>
      </c>
      <c r="E6" s="121">
        <f t="shared" ref="E5:E12" si="3">E4+2*$H$1*(3/B5-E5/B5)</f>
        <v>0.85168165168165166</v>
      </c>
    </row>
    <row r="7" spans="1:8">
      <c r="A7" s="122">
        <v>5</v>
      </c>
      <c r="B7" s="122">
        <f t="shared" si="1"/>
        <v>1.5000000000000004</v>
      </c>
      <c r="C7" s="133">
        <f t="shared" si="2"/>
        <v>1.0714285714285712</v>
      </c>
      <c r="D7" s="132">
        <f t="shared" si="0"/>
        <v>1.0000000000000007</v>
      </c>
      <c r="E7" s="121">
        <f t="shared" si="3"/>
        <v>0.99564720993292422</v>
      </c>
    </row>
    <row r="8" spans="1:8">
      <c r="A8" s="122">
        <v>6</v>
      </c>
      <c r="B8" s="122">
        <f t="shared" si="1"/>
        <v>1.6000000000000005</v>
      </c>
      <c r="C8" s="133">
        <f t="shared" si="2"/>
        <v>1.1999999999999997</v>
      </c>
      <c r="D8" s="132">
        <f t="shared" si="0"/>
        <v>1.1250000000000007</v>
      </c>
      <c r="E8" s="121">
        <f t="shared" si="3"/>
        <v>1.1189286903572617</v>
      </c>
    </row>
    <row r="9" spans="1:8">
      <c r="A9" s="122">
        <v>7</v>
      </c>
      <c r="B9" s="122">
        <f t="shared" si="1"/>
        <v>1.7000000000000006</v>
      </c>
      <c r="C9" s="133">
        <f t="shared" si="2"/>
        <v>1.3124999999999998</v>
      </c>
      <c r="D9" s="132">
        <f t="shared" si="0"/>
        <v>1.2352941176470595</v>
      </c>
      <c r="E9" s="121">
        <f t="shared" si="3"/>
        <v>1.2307811236382664</v>
      </c>
    </row>
    <row r="10" spans="1:8">
      <c r="A10" s="122">
        <v>8</v>
      </c>
      <c r="B10" s="122">
        <f t="shared" si="1"/>
        <v>1.8000000000000007</v>
      </c>
      <c r="C10" s="133">
        <f t="shared" si="2"/>
        <v>1.4117647058823528</v>
      </c>
      <c r="D10" s="132">
        <f t="shared" si="0"/>
        <v>1.3333333333333339</v>
      </c>
      <c r="E10" s="121">
        <f t="shared" si="3"/>
        <v>1.3270720875762891</v>
      </c>
    </row>
    <row r="11" spans="1:8">
      <c r="A11" s="122">
        <v>9</v>
      </c>
      <c r="B11" s="122">
        <f t="shared" si="1"/>
        <v>1.9000000000000008</v>
      </c>
      <c r="C11" s="133">
        <f t="shared" si="2"/>
        <v>1.4999999999999998</v>
      </c>
      <c r="D11" s="132">
        <f t="shared" si="0"/>
        <v>1.421052631578948</v>
      </c>
      <c r="E11" s="121">
        <f t="shared" si="3"/>
        <v>1.4166620027964565</v>
      </c>
    </row>
    <row r="12" spans="1:8">
      <c r="A12" s="122">
        <v>10</v>
      </c>
      <c r="B12" s="122">
        <f t="shared" si="1"/>
        <v>2.0000000000000009</v>
      </c>
      <c r="C12" s="133">
        <f t="shared" si="2"/>
        <v>1.5789473684210524</v>
      </c>
      <c r="D12" s="132">
        <f t="shared" si="0"/>
        <v>1.5000000000000007</v>
      </c>
      <c r="E12" s="121">
        <f>E10+2*$H$1*(3/B11-E11/B11)</f>
        <v>1.493739245176662</v>
      </c>
    </row>
    <row r="13" spans="1:8">
      <c r="C13" s="104" t="s">
        <v>131</v>
      </c>
      <c r="D13" s="123" t="s">
        <v>132</v>
      </c>
      <c r="E13" s="119" t="s">
        <v>135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dimension ref="A1:H13"/>
  <sheetViews>
    <sheetView tabSelected="1" zoomScaleNormal="100" workbookViewId="0">
      <selection activeCell="O7" sqref="O7"/>
    </sheetView>
  </sheetViews>
  <sheetFormatPr defaultRowHeight="15"/>
  <cols>
    <col min="1" max="2" width="9.140625" style="58"/>
    <col min="3" max="3" width="18.7109375" style="58" customWidth="1"/>
    <col min="4" max="4" width="14.5703125" style="58" customWidth="1"/>
    <col min="5" max="5" width="22.42578125" style="58" customWidth="1"/>
    <col min="6" max="16384" width="9.140625" style="58"/>
  </cols>
  <sheetData>
    <row r="1" spans="1:8">
      <c r="A1" s="122" t="s">
        <v>79</v>
      </c>
      <c r="B1" s="122" t="s">
        <v>80</v>
      </c>
      <c r="C1" s="104" t="s">
        <v>65</v>
      </c>
      <c r="D1" s="123" t="s">
        <v>130</v>
      </c>
      <c r="E1" s="119" t="s">
        <v>136</v>
      </c>
      <c r="G1" s="134" t="s">
        <v>77</v>
      </c>
      <c r="H1" s="118">
        <v>0.1</v>
      </c>
    </row>
    <row r="2" spans="1:8">
      <c r="A2" s="122">
        <v>0</v>
      </c>
      <c r="B2" s="130">
        <v>0</v>
      </c>
      <c r="C2" s="131">
        <v>1.25</v>
      </c>
      <c r="D2" s="132">
        <f>EXP(-2*B2)+((B2^2)/2)-(B2/2)+(1/4)</f>
        <v>1.25</v>
      </c>
      <c r="E2" s="131">
        <v>1.25</v>
      </c>
      <c r="G2" s="135"/>
    </row>
    <row r="3" spans="1:8">
      <c r="A3" s="122">
        <v>1</v>
      </c>
      <c r="B3" s="122">
        <f>B2+$H$1</f>
        <v>0.1</v>
      </c>
      <c r="C3" s="133">
        <f>C2+$H$1*((B2^2)-2*C2)</f>
        <v>1</v>
      </c>
      <c r="D3" s="132">
        <f t="shared" ref="D3:D12" si="0">EXP(-2*B3)+((B3^2)/2)-(B3/2)+(1/4)</f>
        <v>1.0237307530779818</v>
      </c>
      <c r="E3" s="121">
        <f>E2+H1*((B2+(H1/2))^2-2*H3)</f>
        <v>1.02525</v>
      </c>
      <c r="G3" s="134" t="s">
        <v>137</v>
      </c>
      <c r="H3" s="79">
        <f>$E$2+($H$1/2)*((B2^2)-2*E2)</f>
        <v>1.125</v>
      </c>
    </row>
    <row r="4" spans="1:8">
      <c r="A4" s="122">
        <v>2</v>
      </c>
      <c r="B4" s="122">
        <f t="shared" ref="B4:B12" si="1">B3+$H$1</f>
        <v>0.2</v>
      </c>
      <c r="C4" s="133">
        <f t="shared" ref="C4:C12" si="2">C3+$H$1*((B3^2)-2*C3)</f>
        <v>0.80099999999999993</v>
      </c>
      <c r="D4" s="132">
        <f t="shared" si="0"/>
        <v>0.84032004603563937</v>
      </c>
      <c r="E4" s="121">
        <f>E2+(2*$H$1*((B3^2)-2*E3))</f>
        <v>0.84189999999999987</v>
      </c>
    </row>
    <row r="5" spans="1:8">
      <c r="A5" s="122">
        <v>3</v>
      </c>
      <c r="B5" s="122">
        <f t="shared" si="1"/>
        <v>0.30000000000000004</v>
      </c>
      <c r="C5" s="133">
        <f t="shared" si="2"/>
        <v>0.64479999999999993</v>
      </c>
      <c r="D5" s="132">
        <f t="shared" si="0"/>
        <v>0.69381163609402641</v>
      </c>
      <c r="E5" s="121">
        <f>E3+(2*$H$1*((B4^2)-2*E4))</f>
        <v>0.69649000000000005</v>
      </c>
    </row>
    <row r="6" spans="1:8">
      <c r="A6" s="122">
        <v>4</v>
      </c>
      <c r="B6" s="122">
        <f t="shared" si="1"/>
        <v>0.4</v>
      </c>
      <c r="C6" s="133">
        <f t="shared" si="2"/>
        <v>0.52483999999999997</v>
      </c>
      <c r="D6" s="132">
        <f t="shared" si="0"/>
        <v>0.57932896411722168</v>
      </c>
      <c r="E6" s="121">
        <f t="shared" ref="E5:E12" si="3">E4+(2*$H$1*((B5^2)-2*E5))</f>
        <v>0.58130399999999982</v>
      </c>
    </row>
    <row r="7" spans="1:8">
      <c r="A7" s="122">
        <v>5</v>
      </c>
      <c r="B7" s="122">
        <f t="shared" si="1"/>
        <v>0.5</v>
      </c>
      <c r="C7" s="133">
        <f t="shared" si="2"/>
        <v>0.43587199999999998</v>
      </c>
      <c r="D7" s="132">
        <f t="shared" si="0"/>
        <v>0.49287944117144233</v>
      </c>
      <c r="E7" s="121">
        <f t="shared" si="3"/>
        <v>0.49596840000000014</v>
      </c>
    </row>
    <row r="8" spans="1:8">
      <c r="A8" s="122">
        <v>6</v>
      </c>
      <c r="B8" s="122">
        <f t="shared" si="1"/>
        <v>0.6</v>
      </c>
      <c r="C8" s="133">
        <f t="shared" si="2"/>
        <v>0.37369759999999996</v>
      </c>
      <c r="D8" s="132">
        <f t="shared" si="0"/>
        <v>0.43119421191220214</v>
      </c>
      <c r="E8" s="121">
        <f t="shared" si="3"/>
        <v>0.43291663999999974</v>
      </c>
    </row>
    <row r="9" spans="1:8">
      <c r="A9" s="122">
        <v>7</v>
      </c>
      <c r="B9" s="122">
        <f t="shared" si="1"/>
        <v>0.7</v>
      </c>
      <c r="C9" s="133">
        <f t="shared" si="2"/>
        <v>0.33495807999999994</v>
      </c>
      <c r="D9" s="132">
        <f t="shared" si="0"/>
        <v>0.39159696394160648</v>
      </c>
      <c r="E9" s="121">
        <f t="shared" si="3"/>
        <v>0.39480174400000023</v>
      </c>
    </row>
    <row r="10" spans="1:8">
      <c r="A10" s="122">
        <v>8</v>
      </c>
      <c r="B10" s="122">
        <f t="shared" si="1"/>
        <v>0.79999999999999993</v>
      </c>
      <c r="C10" s="133">
        <f t="shared" si="2"/>
        <v>0.31696646399999995</v>
      </c>
      <c r="D10" s="132">
        <f t="shared" si="0"/>
        <v>0.37189651799465545</v>
      </c>
      <c r="E10" s="121">
        <f t="shared" si="3"/>
        <v>0.37299594239999961</v>
      </c>
    </row>
    <row r="11" spans="1:8">
      <c r="A11" s="122">
        <v>9</v>
      </c>
      <c r="B11" s="122">
        <f t="shared" si="1"/>
        <v>0.89999999999999991</v>
      </c>
      <c r="C11" s="133">
        <f t="shared" si="2"/>
        <v>0.31757317119999995</v>
      </c>
      <c r="D11" s="132">
        <f t="shared" si="0"/>
        <v>0.37029888822158652</v>
      </c>
      <c r="E11" s="121">
        <f t="shared" si="3"/>
        <v>0.37360336704000036</v>
      </c>
    </row>
    <row r="12" spans="1:8">
      <c r="A12" s="122">
        <v>10</v>
      </c>
      <c r="B12" s="122">
        <f t="shared" si="1"/>
        <v>0.99999999999999989</v>
      </c>
      <c r="C12" s="133">
        <f t="shared" si="2"/>
        <v>0.33505853695999993</v>
      </c>
      <c r="D12" s="132">
        <f t="shared" si="0"/>
        <v>0.38533528323661265</v>
      </c>
      <c r="E12" s="121">
        <f t="shared" si="3"/>
        <v>0.38555459558399946</v>
      </c>
    </row>
    <row r="13" spans="1:8">
      <c r="C13" s="104" t="s">
        <v>131</v>
      </c>
      <c r="D13" s="123" t="s">
        <v>132</v>
      </c>
      <c r="E13" s="119" t="s">
        <v>135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H15"/>
  <sheetViews>
    <sheetView zoomScaleNormal="100" workbookViewId="0">
      <selection activeCell="D2" sqref="D2"/>
    </sheetView>
  </sheetViews>
  <sheetFormatPr defaultRowHeight="15"/>
  <cols>
    <col min="1" max="5" width="8.7109375" customWidth="1"/>
    <col min="6" max="6" width="11.85546875" customWidth="1"/>
    <col min="7" max="1025" width="8.7109375" customWidth="1"/>
  </cols>
  <sheetData>
    <row r="1" spans="1:8">
      <c r="A1" s="6" t="s">
        <v>11</v>
      </c>
      <c r="B1" s="7" t="s">
        <v>0</v>
      </c>
      <c r="C1" s="7" t="s">
        <v>1</v>
      </c>
      <c r="D1" s="7" t="s">
        <v>12</v>
      </c>
      <c r="E1" s="7" t="s">
        <v>13</v>
      </c>
      <c r="F1" s="19"/>
    </row>
    <row r="2" spans="1:8">
      <c r="A2" s="6">
        <v>0</v>
      </c>
      <c r="B2" s="7">
        <v>1</v>
      </c>
      <c r="C2" s="7"/>
      <c r="D2" s="7">
        <v>5</v>
      </c>
      <c r="E2" s="7"/>
      <c r="F2" s="2" t="s">
        <v>14</v>
      </c>
      <c r="G2" s="8" t="s">
        <v>15</v>
      </c>
      <c r="H2" s="9">
        <v>1E-3</v>
      </c>
    </row>
    <row r="3" spans="1:8">
      <c r="A3" s="6">
        <f t="shared" ref="A3:A14" si="0">A2+1</f>
        <v>1</v>
      </c>
      <c r="B3" s="20">
        <f t="shared" ref="B3:B14" si="1">B2-C3/$D$2</f>
        <v>0.9</v>
      </c>
      <c r="C3" s="20">
        <f>B2+LN(B2)-0.5</f>
        <v>0.5</v>
      </c>
      <c r="D3" s="21"/>
      <c r="E3" s="20">
        <f t="shared" ref="E3:E14" si="2">ABS(B3-B2)</f>
        <v>9.9999999999999978E-2</v>
      </c>
      <c r="F3" s="2" t="str">
        <f t="shared" ref="F3:F14" si="3">IF(AND(C3&lt;$H$2,E3&lt;$H$2)," выполнено","---")</f>
        <v>---</v>
      </c>
    </row>
    <row r="4" spans="1:8">
      <c r="A4" s="6">
        <f t="shared" si="0"/>
        <v>2</v>
      </c>
      <c r="B4" s="20">
        <f t="shared" si="1"/>
        <v>0.84107210313156522</v>
      </c>
      <c r="C4" s="20">
        <f t="shared" ref="C4:C14" si="4">B3+LN(B3)-0.5</f>
        <v>0.2946394843421738</v>
      </c>
      <c r="D4" s="21"/>
      <c r="E4" s="20">
        <f t="shared" si="2"/>
        <v>5.8927896868434804E-2</v>
      </c>
      <c r="F4" s="2" t="str">
        <f t="shared" si="3"/>
        <v>---</v>
      </c>
    </row>
    <row r="5" spans="1:8">
      <c r="A5" s="6">
        <f t="shared" si="0"/>
        <v>3</v>
      </c>
      <c r="B5" s="20">
        <f t="shared" si="1"/>
        <v>0.80747326004291375</v>
      </c>
      <c r="C5" s="20">
        <f t="shared" si="4"/>
        <v>0.16799421544325732</v>
      </c>
      <c r="D5" s="21"/>
      <c r="E5" s="20">
        <f t="shared" si="2"/>
        <v>3.3598843088651464E-2</v>
      </c>
      <c r="F5" s="2" t="str">
        <f t="shared" si="3"/>
        <v>---</v>
      </c>
    </row>
    <row r="6" spans="1:8">
      <c r="A6" s="6">
        <f t="shared" si="0"/>
        <v>4</v>
      </c>
      <c r="B6" s="20">
        <f t="shared" si="1"/>
        <v>0.78874767582064342</v>
      </c>
      <c r="C6" s="20">
        <f t="shared" si="4"/>
        <v>9.3627921111351542E-2</v>
      </c>
      <c r="D6" s="21"/>
      <c r="E6" s="20">
        <f t="shared" si="2"/>
        <v>1.8725584222270331E-2</v>
      </c>
      <c r="F6" s="2" t="str">
        <f t="shared" si="3"/>
        <v>---</v>
      </c>
    </row>
    <row r="7" spans="1:8">
      <c r="A7" s="6">
        <f t="shared" si="0"/>
        <v>5</v>
      </c>
      <c r="B7" s="20">
        <f t="shared" si="1"/>
        <v>0.77845990301505086</v>
      </c>
      <c r="C7" s="20">
        <f t="shared" si="4"/>
        <v>5.1438864027963049E-2</v>
      </c>
      <c r="D7" s="21"/>
      <c r="E7" s="20">
        <f t="shared" si="2"/>
        <v>1.0287772805592565E-2</v>
      </c>
      <c r="F7" s="2" t="str">
        <f t="shared" si="3"/>
        <v>---</v>
      </c>
    </row>
    <row r="8" spans="1:8">
      <c r="A8" s="6">
        <f t="shared" si="0"/>
        <v>6</v>
      </c>
      <c r="B8" s="20">
        <f t="shared" si="1"/>
        <v>0.77285548130692427</v>
      </c>
      <c r="C8" s="20">
        <f t="shared" si="4"/>
        <v>2.8022108540632806E-2</v>
      </c>
      <c r="D8" s="21"/>
      <c r="E8" s="20">
        <f t="shared" si="2"/>
        <v>5.6044217081265835E-3</v>
      </c>
      <c r="F8" s="2" t="str">
        <f t="shared" si="3"/>
        <v>---</v>
      </c>
    </row>
    <row r="9" spans="1:8">
      <c r="A9" s="6">
        <f t="shared" si="0"/>
        <v>7</v>
      </c>
      <c r="B9" s="29">
        <f t="shared" si="1"/>
        <v>0.76981702626141324</v>
      </c>
      <c r="C9" s="29">
        <f t="shared" si="4"/>
        <v>1.5192275227555174E-2</v>
      </c>
      <c r="D9" s="30"/>
      <c r="E9" s="29">
        <f t="shared" si="2"/>
        <v>3.0384550455110348E-3</v>
      </c>
      <c r="F9" s="2" t="str">
        <f t="shared" si="3"/>
        <v>---</v>
      </c>
    </row>
    <row r="10" spans="1:8">
      <c r="A10" s="6">
        <f t="shared" si="0"/>
        <v>8</v>
      </c>
      <c r="B10" s="29">
        <f t="shared" si="1"/>
        <v>0.76817410513001061</v>
      </c>
      <c r="C10" s="29">
        <f t="shared" si="4"/>
        <v>8.214605657013041E-3</v>
      </c>
      <c r="D10" s="30"/>
      <c r="E10" s="29">
        <f t="shared" si="2"/>
        <v>1.6429211314026304E-3</v>
      </c>
      <c r="F10" s="2" t="str">
        <f t="shared" si="3"/>
        <v>---</v>
      </c>
    </row>
    <row r="11" spans="1:8">
      <c r="A11" s="6">
        <f t="shared" si="0"/>
        <v>9</v>
      </c>
      <c r="B11" s="29">
        <f t="shared" si="1"/>
        <v>0.76728705853177925</v>
      </c>
      <c r="C11" s="29">
        <f t="shared" si="4"/>
        <v>4.435232991157001E-3</v>
      </c>
      <c r="D11" s="30"/>
      <c r="E11" s="29">
        <f t="shared" si="2"/>
        <v>8.8704659823135579E-4</v>
      </c>
      <c r="F11" s="2" t="str">
        <f t="shared" si="3"/>
        <v>---</v>
      </c>
    </row>
    <row r="12" spans="1:8">
      <c r="A12" s="6">
        <f t="shared" si="0"/>
        <v>10</v>
      </c>
      <c r="B12" s="29">
        <f t="shared" si="1"/>
        <v>0.76680850406216561</v>
      </c>
      <c r="C12" s="29">
        <f t="shared" si="4"/>
        <v>2.3927723480683394E-3</v>
      </c>
      <c r="D12" s="30"/>
      <c r="E12" s="29">
        <f t="shared" si="2"/>
        <v>4.7855446961364567E-4</v>
      </c>
      <c r="F12" s="2" t="str">
        <f t="shared" si="3"/>
        <v>---</v>
      </c>
    </row>
    <row r="13" spans="1:8">
      <c r="A13" s="6">
        <f t="shared" si="0"/>
        <v>11</v>
      </c>
      <c r="B13" s="29">
        <f t="shared" si="1"/>
        <v>0.76655043875891227</v>
      </c>
      <c r="C13" s="29">
        <f t="shared" si="4"/>
        <v>1.2903265162669264E-3</v>
      </c>
      <c r="D13" s="30"/>
      <c r="E13" s="29">
        <f t="shared" si="2"/>
        <v>2.5806530325334087E-4</v>
      </c>
      <c r="F13" s="2" t="str">
        <f t="shared" si="3"/>
        <v>---</v>
      </c>
    </row>
    <row r="14" spans="1:8">
      <c r="A14" s="6">
        <f t="shared" si="0"/>
        <v>12</v>
      </c>
      <c r="B14" s="22">
        <f t="shared" si="1"/>
        <v>0.76641130677603042</v>
      </c>
      <c r="C14" s="20">
        <f t="shared" si="4"/>
        <v>6.9565991440945218E-4</v>
      </c>
      <c r="D14" s="21"/>
      <c r="E14" s="23">
        <f t="shared" si="2"/>
        <v>1.3913198288184603E-4</v>
      </c>
      <c r="F14" s="2" t="str">
        <f t="shared" si="3"/>
        <v xml:space="preserve"> выполнено</v>
      </c>
    </row>
    <row r="15" spans="1:8">
      <c r="A15" s="15"/>
      <c r="B15" s="16"/>
      <c r="C15" s="16"/>
      <c r="D15" s="17"/>
      <c r="E15" s="16"/>
      <c r="F15" s="18"/>
    </row>
  </sheetData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:H18"/>
  <sheetViews>
    <sheetView zoomScale="85" zoomScaleNormal="85" workbookViewId="0">
      <selection activeCell="K14" sqref="K14"/>
    </sheetView>
  </sheetViews>
  <sheetFormatPr defaultRowHeight="15"/>
  <cols>
    <col min="7" max="7" width="22.28515625" customWidth="1"/>
    <col min="8" max="8" width="15" customWidth="1"/>
  </cols>
  <sheetData>
    <row r="2" spans="1:8">
      <c r="A2" t="s">
        <v>38</v>
      </c>
      <c r="E2" t="s">
        <v>15</v>
      </c>
      <c r="F2">
        <v>1E-3</v>
      </c>
    </row>
    <row r="3" spans="1:8">
      <c r="A3" t="s">
        <v>39</v>
      </c>
    </row>
    <row r="4" spans="1:8">
      <c r="A4" t="s">
        <v>40</v>
      </c>
    </row>
    <row r="6" spans="1:8">
      <c r="A6" s="32" t="s">
        <v>16</v>
      </c>
      <c r="B6" s="32"/>
      <c r="C6" s="32"/>
    </row>
    <row r="7" spans="1:8">
      <c r="A7" s="2" t="s">
        <v>17</v>
      </c>
      <c r="B7" s="2" t="s">
        <v>18</v>
      </c>
      <c r="C7" s="2" t="s">
        <v>1</v>
      </c>
      <c r="D7" s="2" t="s">
        <v>19</v>
      </c>
      <c r="E7" s="2" t="s">
        <v>20</v>
      </c>
    </row>
    <row r="8" spans="1:8">
      <c r="A8" s="2" t="s">
        <v>5</v>
      </c>
      <c r="B8" s="2">
        <v>3</v>
      </c>
      <c r="C8" s="2">
        <f>2*B8^3-3*B8^2-12*B8-5</f>
        <v>-14</v>
      </c>
      <c r="D8" s="2">
        <f>12*B8-6</f>
        <v>30</v>
      </c>
      <c r="E8" s="2" t="str">
        <f>IF(C8*D8&gt;0,"вып","--")</f>
        <v>--</v>
      </c>
    </row>
    <row r="9" spans="1:8">
      <c r="A9" s="2" t="s">
        <v>6</v>
      </c>
      <c r="B9" s="2">
        <v>4</v>
      </c>
      <c r="C9" s="2">
        <f>2*B9^3-3*B9^2-12*B9-5</f>
        <v>27</v>
      </c>
      <c r="D9" s="2">
        <f>12*B9-6</f>
        <v>42</v>
      </c>
      <c r="E9" s="2" t="str">
        <f>IF(C9*D9&gt;0,"вып","--")</f>
        <v>вып</v>
      </c>
    </row>
    <row r="10" spans="1:8">
      <c r="C10" t="s">
        <v>24</v>
      </c>
      <c r="D10" s="9">
        <f>B8</f>
        <v>3</v>
      </c>
      <c r="E10" t="s">
        <v>22</v>
      </c>
      <c r="F10" s="9">
        <f>B9</f>
        <v>4</v>
      </c>
      <c r="G10" t="s">
        <v>23</v>
      </c>
    </row>
    <row r="11" spans="1:8">
      <c r="A11" s="124" t="s">
        <v>21</v>
      </c>
      <c r="B11" s="124"/>
    </row>
    <row r="12" spans="1:8">
      <c r="A12" s="31" t="s">
        <v>25</v>
      </c>
      <c r="B12" s="31" t="s">
        <v>26</v>
      </c>
      <c r="C12" s="31" t="s">
        <v>27</v>
      </c>
      <c r="D12" s="31" t="s">
        <v>28</v>
      </c>
      <c r="E12" s="31" t="s">
        <v>29</v>
      </c>
      <c r="F12" s="31" t="s">
        <v>30</v>
      </c>
      <c r="G12" s="31" t="s">
        <v>8</v>
      </c>
      <c r="H12" s="31" t="s">
        <v>11</v>
      </c>
    </row>
    <row r="13" spans="1:8">
      <c r="A13" s="20">
        <f>$B$8</f>
        <v>3</v>
      </c>
      <c r="B13" s="20">
        <f>$B$9</f>
        <v>4</v>
      </c>
      <c r="C13" s="20">
        <f>A13-E13*(B13-A13)/(F13-E13)</f>
        <v>3.3414634146341462</v>
      </c>
      <c r="D13" s="20">
        <f>ABS(C13-A13)</f>
        <v>0.3414634146341462</v>
      </c>
      <c r="E13" s="20">
        <f>2*A13^3-3*A13^2-12*A13-5</f>
        <v>-14</v>
      </c>
      <c r="F13" s="20">
        <f>2*B13^3-3*B13^2-12*B13-5</f>
        <v>27</v>
      </c>
      <c r="G13" s="20" t="str">
        <f>IF(D13&lt;=$F$2,"выполнено","--")</f>
        <v>--</v>
      </c>
      <c r="H13" s="27">
        <v>0</v>
      </c>
    </row>
    <row r="14" spans="1:8">
      <c r="A14" s="20">
        <f>C13</f>
        <v>3.3414634146341462</v>
      </c>
      <c r="B14" s="20">
        <f t="shared" ref="B14:B17" si="0">$B$9</f>
        <v>4</v>
      </c>
      <c r="C14" s="20">
        <f t="shared" ref="C14:C17" si="1">A14-E14*(B14-A14)/(F14-E14)</f>
        <v>3.4259968888720262</v>
      </c>
      <c r="D14" s="20">
        <f t="shared" ref="D14:D17" si="2">ABS(C14-A14)</f>
        <v>8.4533474237880046E-2</v>
      </c>
      <c r="E14" s="20">
        <f t="shared" ref="E14:E17" si="3">2*A14^3-3*A14^2-12*A14-5</f>
        <v>-3.9762916962899624</v>
      </c>
      <c r="F14" s="20">
        <f t="shared" ref="F14:F17" si="4">2*B14^3-3*B14^2-12*B14-5</f>
        <v>27</v>
      </c>
      <c r="G14" s="20" t="str">
        <f t="shared" ref="G14:G17" si="5">IF(D14&lt;=$F$2,"выполнено","--")</f>
        <v>--</v>
      </c>
      <c r="H14" s="27">
        <v>1</v>
      </c>
    </row>
    <row r="15" spans="1:8">
      <c r="A15" s="20">
        <f t="shared" ref="A15:A17" si="6">C14</f>
        <v>3.4259968888720262</v>
      </c>
      <c r="B15" s="20">
        <f t="shared" si="0"/>
        <v>4</v>
      </c>
      <c r="C15" s="20">
        <f t="shared" si="1"/>
        <v>3.444500380849862</v>
      </c>
      <c r="D15" s="20">
        <f t="shared" si="2"/>
        <v>1.850349197783574E-2</v>
      </c>
      <c r="E15" s="20">
        <f t="shared" si="3"/>
        <v>-0.89936026268730984</v>
      </c>
      <c r="F15" s="20">
        <f t="shared" si="4"/>
        <v>27</v>
      </c>
      <c r="G15" s="20" t="str">
        <f t="shared" si="5"/>
        <v>--</v>
      </c>
      <c r="H15" s="27">
        <v>2</v>
      </c>
    </row>
    <row r="16" spans="1:8">
      <c r="A16" s="20">
        <f t="shared" si="6"/>
        <v>3.444500380849862</v>
      </c>
      <c r="B16" s="20">
        <f t="shared" si="0"/>
        <v>4</v>
      </c>
      <c r="C16" s="20">
        <f t="shared" si="1"/>
        <v>3.4484355427446189</v>
      </c>
      <c r="D16" s="20">
        <f t="shared" si="2"/>
        <v>3.9351618947569555E-3</v>
      </c>
      <c r="E16" s="20">
        <f t="shared" si="3"/>
        <v>-0.1926327372273704</v>
      </c>
      <c r="F16" s="20">
        <f t="shared" si="4"/>
        <v>27</v>
      </c>
      <c r="G16" s="20" t="str">
        <f t="shared" si="5"/>
        <v>--</v>
      </c>
      <c r="H16" s="27">
        <v>3</v>
      </c>
    </row>
    <row r="17" spans="1:8">
      <c r="A17" s="20">
        <f t="shared" si="6"/>
        <v>3.4484355427446189</v>
      </c>
      <c r="B17" s="20">
        <f t="shared" si="0"/>
        <v>4</v>
      </c>
      <c r="C17" s="28">
        <f t="shared" si="1"/>
        <v>3.4492672440357999</v>
      </c>
      <c r="D17" s="20">
        <f t="shared" si="2"/>
        <v>8.3170129118093072E-4</v>
      </c>
      <c r="E17" s="20">
        <f t="shared" si="3"/>
        <v>-4.0774649081058101E-2</v>
      </c>
      <c r="F17" s="20">
        <f t="shared" si="4"/>
        <v>27</v>
      </c>
      <c r="G17" s="20" t="str">
        <f t="shared" si="5"/>
        <v>выполнено</v>
      </c>
      <c r="H17" s="27">
        <v>4</v>
      </c>
    </row>
    <row r="18" spans="1:8">
      <c r="A18" s="35"/>
      <c r="B18" s="35"/>
      <c r="C18" s="36"/>
      <c r="D18" s="35"/>
      <c r="E18" s="35"/>
      <c r="F18" s="35"/>
      <c r="G18" s="35"/>
      <c r="H18" s="39"/>
    </row>
  </sheetData>
  <mergeCells count="1">
    <mergeCell ref="A11:B1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2:H21"/>
  <sheetViews>
    <sheetView showFormulas="1" workbookViewId="0">
      <selection activeCell="A4" sqref="A4"/>
    </sheetView>
  </sheetViews>
  <sheetFormatPr defaultRowHeight="15"/>
  <cols>
    <col min="3" max="3" width="14.42578125" customWidth="1"/>
    <col min="5" max="5" width="31.5703125" customWidth="1"/>
    <col min="6" max="6" width="26.85546875" customWidth="1"/>
    <col min="7" max="7" width="20" customWidth="1"/>
  </cols>
  <sheetData>
    <row r="2" spans="1:8">
      <c r="A2" t="s">
        <v>41</v>
      </c>
    </row>
    <row r="3" spans="1:8">
      <c r="A3" t="s">
        <v>42</v>
      </c>
    </row>
    <row r="4" spans="1:8">
      <c r="A4" t="s">
        <v>43</v>
      </c>
    </row>
    <row r="6" spans="1:8">
      <c r="B6" t="s">
        <v>15</v>
      </c>
      <c r="C6">
        <v>1E-3</v>
      </c>
    </row>
    <row r="8" spans="1:8">
      <c r="A8" s="32" t="s">
        <v>16</v>
      </c>
      <c r="B8" s="32"/>
      <c r="C8" s="32"/>
    </row>
    <row r="9" spans="1:8">
      <c r="A9" s="2" t="s">
        <v>17</v>
      </c>
      <c r="B9" s="2" t="s">
        <v>18</v>
      </c>
      <c r="C9" s="2" t="s">
        <v>1</v>
      </c>
      <c r="D9" s="2" t="s">
        <v>19</v>
      </c>
      <c r="E9" s="2" t="s">
        <v>20</v>
      </c>
    </row>
    <row r="10" spans="1:8">
      <c r="A10" s="2" t="s">
        <v>5</v>
      </c>
      <c r="B10" s="2">
        <v>-1</v>
      </c>
      <c r="C10" s="2">
        <f>3*B10+COS(B10)+1</f>
        <v>-1.4596976941318602</v>
      </c>
      <c r="D10" s="2">
        <f>-COS(B10)</f>
        <v>-0.54030230586813977</v>
      </c>
      <c r="E10" s="2" t="str">
        <f>IF(C10*D10&gt;0,"вып","--")</f>
        <v>вып</v>
      </c>
      <c r="F10" s="9"/>
    </row>
    <row r="11" spans="1:8">
      <c r="A11" s="2" t="s">
        <v>6</v>
      </c>
      <c r="B11" s="2">
        <v>0</v>
      </c>
      <c r="C11" s="2">
        <f>3*B11+COS(B11)+1</f>
        <v>2</v>
      </c>
      <c r="D11" s="2">
        <f>-COS(B11)</f>
        <v>-1</v>
      </c>
      <c r="E11" s="2" t="str">
        <f>IF(C11*D11&gt;0,"вып","--")</f>
        <v>--</v>
      </c>
    </row>
    <row r="12" spans="1:8">
      <c r="D12" s="9"/>
    </row>
    <row r="13" spans="1:8">
      <c r="A13" s="34" t="s">
        <v>31</v>
      </c>
      <c r="B13" s="34"/>
    </row>
    <row r="14" spans="1:8">
      <c r="A14" s="31" t="s">
        <v>32</v>
      </c>
      <c r="B14" s="31" t="s">
        <v>33</v>
      </c>
      <c r="C14" s="31" t="s">
        <v>34</v>
      </c>
      <c r="D14" s="31" t="s">
        <v>35</v>
      </c>
      <c r="E14" s="31" t="s">
        <v>28</v>
      </c>
      <c r="F14" s="31" t="s">
        <v>36</v>
      </c>
      <c r="G14" s="31" t="s">
        <v>37</v>
      </c>
    </row>
    <row r="15" spans="1:8">
      <c r="A15" s="20">
        <f>$B$11</f>
        <v>0</v>
      </c>
      <c r="B15" s="20">
        <f>A15-(C15/D15)</f>
        <v>-0.66666666666666663</v>
      </c>
      <c r="C15" s="20">
        <f>3*A15+COS(A15)+1</f>
        <v>2</v>
      </c>
      <c r="D15" s="20">
        <f>3-SIN(A15)</f>
        <v>3</v>
      </c>
      <c r="E15" s="20">
        <f>ABS(B15-A15)</f>
        <v>0.66666666666666663</v>
      </c>
      <c r="F15" s="20" t="str">
        <f>IF(E15&lt;$C$6,"Корень = "&amp;ROUND(B15,4),"--")</f>
        <v>--</v>
      </c>
      <c r="G15" s="27">
        <v>1</v>
      </c>
      <c r="H15" s="18"/>
    </row>
    <row r="16" spans="1:8">
      <c r="A16" s="20">
        <f>B15</f>
        <v>-0.66666666666666663</v>
      </c>
      <c r="B16" s="20">
        <f t="shared" ref="B16:B17" si="0">A16-(C16/D16)</f>
        <v>-0.60749285335399639</v>
      </c>
      <c r="C16" s="20">
        <f t="shared" ref="C16:C17" si="1">3*A16+COS(A16)+1</f>
        <v>-0.21411273922305196</v>
      </c>
      <c r="D16" s="20">
        <f t="shared" ref="D16:D17" si="2">3-SIN(A16)</f>
        <v>3.6183698030697369</v>
      </c>
      <c r="E16" s="20">
        <f t="shared" ref="E16:E17" si="3">ABS(B16-A16)</f>
        <v>5.9173813312670243E-2</v>
      </c>
      <c r="F16" s="20" t="str">
        <f t="shared" ref="F16:F17" si="4">IF(E16&lt;$C$6,"Корень = "&amp;ROUND(B16,4),"--")</f>
        <v>--</v>
      </c>
      <c r="G16" s="27">
        <v>2</v>
      </c>
      <c r="H16" s="33"/>
    </row>
    <row r="17" spans="1:8">
      <c r="A17" s="20">
        <f t="shared" ref="A17" si="5">B16</f>
        <v>-0.60749285335399639</v>
      </c>
      <c r="B17" s="20">
        <f t="shared" si="0"/>
        <v>-0.60710166570010782</v>
      </c>
      <c r="C17" s="20">
        <f t="shared" si="1"/>
        <v>-1.3968570539599767E-3</v>
      </c>
      <c r="D17" s="20">
        <f t="shared" si="2"/>
        <v>3.5708106840147922</v>
      </c>
      <c r="E17" s="20">
        <f t="shared" si="3"/>
        <v>3.9118765388856946E-4</v>
      </c>
      <c r="F17" s="37" t="str">
        <f t="shared" si="4"/>
        <v>Корень = -0,6071</v>
      </c>
      <c r="G17" s="27">
        <v>3</v>
      </c>
      <c r="H17" s="33"/>
    </row>
    <row r="18" spans="1:8">
      <c r="A18" s="36"/>
      <c r="B18" s="36"/>
      <c r="C18" s="36"/>
      <c r="D18" s="36"/>
      <c r="E18" s="36"/>
      <c r="F18" s="36"/>
      <c r="G18" s="33"/>
      <c r="H18" s="33"/>
    </row>
    <row r="19" spans="1:8">
      <c r="A19" s="35"/>
      <c r="B19" s="35"/>
      <c r="C19" s="35"/>
      <c r="D19" s="35"/>
      <c r="E19" s="35"/>
      <c r="F19" s="35"/>
      <c r="G19" s="35"/>
      <c r="H19" s="33"/>
    </row>
    <row r="20" spans="1:8">
      <c r="A20" s="35"/>
      <c r="B20" s="35"/>
      <c r="C20" s="36"/>
      <c r="D20" s="35"/>
      <c r="E20" s="35"/>
      <c r="F20" s="35"/>
      <c r="G20" s="35"/>
      <c r="H20" s="33"/>
    </row>
    <row r="21" spans="1:8">
      <c r="H21" s="33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G20"/>
  <sheetViews>
    <sheetView workbookViewId="0">
      <selection activeCell="F20" sqref="A1:F20"/>
    </sheetView>
  </sheetViews>
  <sheetFormatPr defaultRowHeight="15"/>
  <cols>
    <col min="3" max="3" width="11.28515625" bestFit="1" customWidth="1"/>
    <col min="4" max="4" width="15.42578125" bestFit="1" customWidth="1"/>
    <col min="5" max="5" width="14.7109375" bestFit="1" customWidth="1"/>
    <col min="6" max="6" width="23.85546875" customWidth="1"/>
  </cols>
  <sheetData>
    <row r="1" spans="1:7" ht="50.25" customHeight="1">
      <c r="A1" s="41" t="s">
        <v>44</v>
      </c>
      <c r="B1" s="41" t="s">
        <v>45</v>
      </c>
      <c r="C1" s="41" t="s">
        <v>46</v>
      </c>
      <c r="D1" s="41" t="s">
        <v>47</v>
      </c>
      <c r="E1" s="41" t="s">
        <v>48</v>
      </c>
      <c r="F1" s="41" t="s">
        <v>49</v>
      </c>
      <c r="G1" s="42"/>
    </row>
    <row r="2" spans="1:7">
      <c r="A2" s="125" t="s">
        <v>50</v>
      </c>
      <c r="B2" s="41">
        <v>2.2000000000000002</v>
      </c>
      <c r="C2" s="41">
        <f>-3.1</f>
        <v>-3.1</v>
      </c>
      <c r="D2" s="41">
        <v>4.2</v>
      </c>
      <c r="E2" s="41">
        <v>-5.0999999999999996</v>
      </c>
      <c r="F2" s="41">
        <v>6</v>
      </c>
      <c r="G2" s="42"/>
    </row>
    <row r="3" spans="1:7">
      <c r="A3" s="125"/>
      <c r="B3" s="41">
        <v>1.3</v>
      </c>
      <c r="C3" s="41">
        <v>2.2000000000000002</v>
      </c>
      <c r="D3" s="41">
        <v>-1.4</v>
      </c>
      <c r="E3" s="41">
        <v>1.5</v>
      </c>
      <c r="F3" s="41">
        <v>10</v>
      </c>
      <c r="G3" s="42"/>
    </row>
    <row r="4" spans="1:7">
      <c r="A4" s="125"/>
      <c r="B4" s="41">
        <v>6.2</v>
      </c>
      <c r="C4" s="41">
        <v>-7.4</v>
      </c>
      <c r="D4" s="41">
        <v>8.5</v>
      </c>
      <c r="E4" s="41">
        <v>-9.6</v>
      </c>
      <c r="F4" s="41">
        <v>1.1000000000000001</v>
      </c>
      <c r="G4" s="42"/>
    </row>
    <row r="5" spans="1:7">
      <c r="A5" s="125"/>
      <c r="B5" s="41">
        <v>1.2</v>
      </c>
      <c r="C5" s="41">
        <v>1.3</v>
      </c>
      <c r="D5" s="41">
        <v>1.4</v>
      </c>
      <c r="E5" s="41">
        <v>4.5</v>
      </c>
      <c r="F5" s="41">
        <v>1.6</v>
      </c>
      <c r="G5" s="42"/>
    </row>
    <row r="6" spans="1:7">
      <c r="A6" s="125"/>
      <c r="B6" s="44">
        <f>B2/B2</f>
        <v>1</v>
      </c>
      <c r="C6" s="45">
        <f>C2/B2</f>
        <v>-1.4090909090909089</v>
      </c>
      <c r="D6" s="45">
        <f>D2/B2</f>
        <v>1.9090909090909089</v>
      </c>
      <c r="E6" s="45">
        <f>E2/B2</f>
        <v>-2.3181818181818179</v>
      </c>
      <c r="F6" s="45">
        <f>F2/B2</f>
        <v>2.7272727272727271</v>
      </c>
      <c r="G6" s="42"/>
    </row>
    <row r="7" spans="1:7">
      <c r="A7" s="125" t="s">
        <v>51</v>
      </c>
      <c r="B7" s="41"/>
      <c r="C7" s="46">
        <f>C3-B3*$C$6</f>
        <v>4.0318181818181822</v>
      </c>
      <c r="D7" s="46">
        <f>D3-B3*$D$6</f>
        <v>-3.8818181818181818</v>
      </c>
      <c r="E7" s="46">
        <f>E3-B3*$E$6</f>
        <v>4.5136363636363637</v>
      </c>
      <c r="F7" s="46">
        <f>F3-B3*$F$6</f>
        <v>6.454545454545455</v>
      </c>
      <c r="G7" s="42"/>
    </row>
    <row r="8" spans="1:7">
      <c r="A8" s="125"/>
      <c r="B8" s="41"/>
      <c r="C8" s="46">
        <f t="shared" ref="C8:C9" si="0">C4-B4*$C$6</f>
        <v>1.336363636363636</v>
      </c>
      <c r="D8" s="46">
        <f t="shared" ref="D8:D9" si="1">D4-B4*$D$6</f>
        <v>-3.336363636363636</v>
      </c>
      <c r="E8" s="46">
        <f t="shared" ref="E8:E9" si="2">E4-B4*$E$6</f>
        <v>4.7727272727272716</v>
      </c>
      <c r="F8" s="46">
        <f t="shared" ref="F8:F9" si="3">F4-B4*$F$6</f>
        <v>-15.80909090909091</v>
      </c>
      <c r="G8" s="42"/>
    </row>
    <row r="9" spans="1:7">
      <c r="A9" s="125"/>
      <c r="B9" s="41"/>
      <c r="C9" s="46">
        <f t="shared" si="0"/>
        <v>2.9909090909090907</v>
      </c>
      <c r="D9" s="46">
        <f t="shared" si="1"/>
        <v>-0.89090909090909065</v>
      </c>
      <c r="E9" s="46">
        <f t="shared" si="2"/>
        <v>7.2818181818181813</v>
      </c>
      <c r="F9" s="46">
        <f t="shared" si="3"/>
        <v>-1.6727272727272724</v>
      </c>
      <c r="G9" s="42"/>
    </row>
    <row r="10" spans="1:7">
      <c r="A10" s="125"/>
      <c r="B10" s="41"/>
      <c r="C10" s="44">
        <f>C7/C7</f>
        <v>1</v>
      </c>
      <c r="D10" s="45">
        <f>D7/$C$7</f>
        <v>-0.96279594137542268</v>
      </c>
      <c r="E10" s="45">
        <f t="shared" ref="E10:F10" si="4">E7/$C$7</f>
        <v>1.1195039458850056</v>
      </c>
      <c r="F10" s="45">
        <f t="shared" si="4"/>
        <v>1.600901916572717</v>
      </c>
      <c r="G10" s="42"/>
    </row>
    <row r="11" spans="1:7">
      <c r="A11" s="125" t="s">
        <v>52</v>
      </c>
      <c r="B11" s="41"/>
      <c r="C11" s="41"/>
      <c r="D11" s="46">
        <f>D8-C8*$D$10</f>
        <v>-2.0497181510710263</v>
      </c>
      <c r="E11" s="46">
        <f>E8-C8*$E$10</f>
        <v>3.2766629086809465</v>
      </c>
      <c r="F11" s="46">
        <f>F8-C8*$F$10</f>
        <v>-17.94847801578354</v>
      </c>
      <c r="G11" s="42"/>
    </row>
    <row r="12" spans="1:7">
      <c r="A12" s="125"/>
      <c r="B12" s="41"/>
      <c r="C12" s="41"/>
      <c r="D12" s="46">
        <f>D9-C9*$D$10</f>
        <v>1.9887260428410372</v>
      </c>
      <c r="E12" s="46">
        <f>E9-C9*$E$10</f>
        <v>3.9334836527621193</v>
      </c>
      <c r="F12" s="46">
        <f>F9-C9*$F$10</f>
        <v>-6.4608793686583983</v>
      </c>
      <c r="G12" s="42"/>
    </row>
    <row r="13" spans="1:7">
      <c r="A13" s="125"/>
      <c r="B13" s="41"/>
      <c r="C13" s="41"/>
      <c r="D13" s="44">
        <f>D11/D11</f>
        <v>1</v>
      </c>
      <c r="E13" s="45">
        <f>E11/D11</f>
        <v>-1.5985919366371482</v>
      </c>
      <c r="F13" s="45">
        <f>F11/D11</f>
        <v>8.7565590451570294</v>
      </c>
      <c r="G13" s="42"/>
    </row>
    <row r="14" spans="1:7">
      <c r="A14" s="125" t="s">
        <v>53</v>
      </c>
      <c r="B14" s="41"/>
      <c r="C14" s="41"/>
      <c r="D14" s="41"/>
      <c r="E14" s="46">
        <f>E12-D12*E13</f>
        <v>7.1126450690281047</v>
      </c>
      <c r="F14" s="46">
        <f>F12-D12*F13</f>
        <v>-23.875276387437431</v>
      </c>
      <c r="G14" s="42"/>
    </row>
    <row r="15" spans="1:7">
      <c r="A15" s="125"/>
      <c r="B15" s="41"/>
      <c r="C15" s="41"/>
      <c r="D15" s="41"/>
      <c r="E15" s="44">
        <f>E14/E14</f>
        <v>1</v>
      </c>
      <c r="F15" s="45">
        <f>F14/E14</f>
        <v>-3.3567366508139043</v>
      </c>
      <c r="G15" s="42"/>
    </row>
    <row r="16" spans="1:7">
      <c r="A16" s="43"/>
      <c r="B16" s="43"/>
      <c r="C16" s="43"/>
      <c r="D16" s="43"/>
      <c r="E16" s="43"/>
      <c r="F16" s="43"/>
      <c r="G16" s="42"/>
    </row>
    <row r="17" spans="1:7">
      <c r="A17" s="125" t="s">
        <v>54</v>
      </c>
      <c r="B17" s="41"/>
      <c r="C17" s="41"/>
      <c r="D17" s="41"/>
      <c r="E17" s="41">
        <v>1</v>
      </c>
      <c r="F17" s="49">
        <f>F15</f>
        <v>-3.3567366508139043</v>
      </c>
      <c r="G17" s="42"/>
    </row>
    <row r="18" spans="1:7">
      <c r="A18" s="125"/>
      <c r="B18" s="41"/>
      <c r="C18" s="41"/>
      <c r="D18" s="41">
        <v>1</v>
      </c>
      <c r="E18" s="41"/>
      <c r="F18" s="49">
        <f>F13-E13*F17</f>
        <v>3.3905069017515359</v>
      </c>
      <c r="G18" s="42"/>
    </row>
    <row r="19" spans="1:7">
      <c r="A19" s="125"/>
      <c r="B19" s="41"/>
      <c r="C19" s="41">
        <v>1</v>
      </c>
      <c r="D19" s="41"/>
      <c r="E19" s="41"/>
      <c r="F19" s="49">
        <f>F10-E10*F17-D10*F18</f>
        <v>8.6231481266674379</v>
      </c>
      <c r="G19" s="42"/>
    </row>
    <row r="20" spans="1:7">
      <c r="A20" s="125"/>
      <c r="B20" s="41">
        <v>1</v>
      </c>
      <c r="C20" s="41"/>
      <c r="D20" s="41"/>
      <c r="E20" s="41"/>
      <c r="F20" s="49">
        <f>F6-E6*F17-D6*F18-C6*F19</f>
        <v>0.62376058461895134</v>
      </c>
      <c r="G20" s="42"/>
    </row>
  </sheetData>
  <mergeCells count="5">
    <mergeCell ref="A2:A6"/>
    <mergeCell ref="A7:A10"/>
    <mergeCell ref="A11:A13"/>
    <mergeCell ref="A14:A15"/>
    <mergeCell ref="A17:A20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G19"/>
  <sheetViews>
    <sheetView zoomScaleNormal="100" workbookViewId="0">
      <selection activeCell="K8" sqref="K8"/>
    </sheetView>
  </sheetViews>
  <sheetFormatPr defaultRowHeight="15"/>
  <cols>
    <col min="1" max="1" width="9.85546875" customWidth="1"/>
    <col min="3" max="3" width="9.28515625" bestFit="1" customWidth="1"/>
    <col min="5" max="5" width="19.7109375" customWidth="1"/>
    <col min="6" max="6" width="19.140625" customWidth="1"/>
  </cols>
  <sheetData>
    <row r="1" spans="1:7" ht="47.25" customHeight="1">
      <c r="A1" s="41" t="s">
        <v>44</v>
      </c>
      <c r="B1" s="41" t="s">
        <v>45</v>
      </c>
      <c r="C1" s="41" t="s">
        <v>46</v>
      </c>
      <c r="D1" s="41" t="s">
        <v>47</v>
      </c>
      <c r="E1" s="41" t="s">
        <v>49</v>
      </c>
    </row>
    <row r="2" spans="1:7">
      <c r="A2" s="125" t="s">
        <v>50</v>
      </c>
      <c r="B2" s="54">
        <v>2.34</v>
      </c>
      <c r="C2" s="54">
        <v>-4.21</v>
      </c>
      <c r="D2" s="54">
        <v>-11.61</v>
      </c>
      <c r="E2" s="54">
        <v>14.41</v>
      </c>
    </row>
    <row r="3" spans="1:7">
      <c r="A3" s="125"/>
      <c r="B3" s="54">
        <v>8.0399999999999991</v>
      </c>
      <c r="C3" s="54">
        <v>5.22</v>
      </c>
      <c r="D3" s="54">
        <v>0.27</v>
      </c>
      <c r="E3" s="54">
        <v>-6.44</v>
      </c>
    </row>
    <row r="4" spans="1:7">
      <c r="A4" s="125"/>
      <c r="B4" s="54">
        <v>3.92</v>
      </c>
      <c r="C4" s="54">
        <v>-7.99</v>
      </c>
      <c r="D4" s="54">
        <v>8.3699999999999992</v>
      </c>
      <c r="E4" s="54">
        <v>55.56</v>
      </c>
    </row>
    <row r="5" spans="1:7">
      <c r="A5" s="125"/>
      <c r="B5" s="44">
        <f>B2/B2</f>
        <v>1</v>
      </c>
      <c r="C5" s="47">
        <f>C2/$B$2</f>
        <v>-1.7991452991452992</v>
      </c>
      <c r="D5" s="47">
        <f>D2/$B$2</f>
        <v>-4.9615384615384617</v>
      </c>
      <c r="E5" s="47">
        <f>E2/$B$2</f>
        <v>6.1581196581196584</v>
      </c>
    </row>
    <row r="6" spans="1:7">
      <c r="A6" s="125" t="s">
        <v>51</v>
      </c>
      <c r="B6" s="41"/>
      <c r="C6" s="48">
        <f>C3-B3*$C$5</f>
        <v>19.685128205128205</v>
      </c>
      <c r="D6" s="48">
        <f>D3-B3*$D$5</f>
        <v>40.160769230769233</v>
      </c>
      <c r="E6" s="48">
        <f>E3-B3*$E$5</f>
        <v>-55.95128205128205</v>
      </c>
    </row>
    <row r="7" spans="1:7">
      <c r="A7" s="125"/>
      <c r="B7" s="41"/>
      <c r="C7" s="48">
        <f>C4-B4*$C$5</f>
        <v>-0.9373504273504274</v>
      </c>
      <c r="D7" s="48">
        <f>D4-B4*$D$5</f>
        <v>27.819230769230771</v>
      </c>
      <c r="E7" s="48">
        <f>E4-B4*$E$5</f>
        <v>31.420170940170941</v>
      </c>
      <c r="F7" s="26"/>
    </row>
    <row r="8" spans="1:7">
      <c r="A8" s="125"/>
      <c r="B8" s="41"/>
      <c r="C8" s="44">
        <f>C6/C6</f>
        <v>1</v>
      </c>
      <c r="D8" s="47">
        <f>D6/C6</f>
        <v>2.0401578700567917</v>
      </c>
      <c r="E8" s="47">
        <f>E6/C6</f>
        <v>-2.8423123013598706</v>
      </c>
      <c r="F8" s="26"/>
    </row>
    <row r="9" spans="1:7">
      <c r="A9" s="125" t="s">
        <v>52</v>
      </c>
      <c r="B9" s="41"/>
      <c r="C9" s="41"/>
      <c r="D9" s="48">
        <f>D7-C7*D8</f>
        <v>29.731573620590844</v>
      </c>
      <c r="E9" s="48">
        <f>E7-C7*E8</f>
        <v>28.755928289827889</v>
      </c>
      <c r="F9" s="26"/>
    </row>
    <row r="10" spans="1:7">
      <c r="A10" s="125"/>
      <c r="B10" s="41"/>
      <c r="C10" s="41"/>
      <c r="D10" s="44">
        <f>D9/D9</f>
        <v>1</v>
      </c>
      <c r="E10" s="47">
        <f>E9/D9</f>
        <v>0.96718487412696974</v>
      </c>
      <c r="F10" s="26"/>
    </row>
    <row r="11" spans="1:7">
      <c r="A11" s="53"/>
      <c r="B11" s="53"/>
      <c r="C11" s="53"/>
      <c r="D11" s="53"/>
      <c r="E11" s="53"/>
      <c r="F11" s="26"/>
      <c r="G11" s="26"/>
    </row>
    <row r="12" spans="1:7">
      <c r="A12" s="125" t="s">
        <v>53</v>
      </c>
      <c r="B12" s="41"/>
      <c r="C12" s="41"/>
      <c r="D12" s="41">
        <v>1</v>
      </c>
      <c r="E12" s="49">
        <f>E10</f>
        <v>0.96718487412696974</v>
      </c>
      <c r="F12" s="26"/>
    </row>
    <row r="13" spans="1:7">
      <c r="A13" s="125"/>
      <c r="B13" s="41"/>
      <c r="C13" s="41">
        <v>1</v>
      </c>
      <c r="D13" s="41"/>
      <c r="E13" s="49">
        <f>E8-D8*E12</f>
        <v>-4.8155221341098953</v>
      </c>
      <c r="F13" s="26"/>
    </row>
    <row r="14" spans="1:7">
      <c r="A14" s="125"/>
      <c r="B14" s="41">
        <v>1</v>
      </c>
      <c r="C14" s="41"/>
      <c r="D14" s="41"/>
      <c r="E14" s="49">
        <f>E5-D5*E12-C5*E13</f>
        <v>2.2930206000048958</v>
      </c>
      <c r="F14" s="26"/>
    </row>
    <row r="15" spans="1:7">
      <c r="A15" s="50"/>
      <c r="B15" s="51"/>
      <c r="C15" s="51"/>
      <c r="D15" s="51"/>
      <c r="E15" s="52"/>
      <c r="F15" s="26"/>
    </row>
    <row r="16" spans="1:7">
      <c r="F16" s="26"/>
    </row>
    <row r="17" spans="6:6">
      <c r="F17" s="26"/>
    </row>
    <row r="18" spans="6:6">
      <c r="F18" s="26"/>
    </row>
    <row r="19" spans="6:6">
      <c r="F19" s="26"/>
    </row>
  </sheetData>
  <mergeCells count="4">
    <mergeCell ref="A2:A5"/>
    <mergeCell ref="A6:A8"/>
    <mergeCell ref="A9:A10"/>
    <mergeCell ref="A12:A14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G19"/>
  <sheetViews>
    <sheetView zoomScaleNormal="100" workbookViewId="0">
      <selection activeCell="E14" sqref="E14"/>
    </sheetView>
  </sheetViews>
  <sheetFormatPr defaultRowHeight="15"/>
  <cols>
    <col min="1" max="1" width="9.85546875" customWidth="1"/>
    <col min="3" max="3" width="9.28515625" bestFit="1" customWidth="1"/>
    <col min="5" max="5" width="19.7109375" customWidth="1"/>
    <col min="6" max="6" width="19.140625" customWidth="1"/>
  </cols>
  <sheetData>
    <row r="1" spans="1:7" ht="47.25" customHeight="1">
      <c r="A1" s="41" t="s">
        <v>44</v>
      </c>
      <c r="B1" s="41" t="s">
        <v>45</v>
      </c>
      <c r="C1" s="41" t="s">
        <v>46</v>
      </c>
      <c r="D1" s="41" t="s">
        <v>47</v>
      </c>
      <c r="E1" s="41" t="s">
        <v>49</v>
      </c>
    </row>
    <row r="2" spans="1:7">
      <c r="A2" s="125" t="s">
        <v>50</v>
      </c>
      <c r="B2" s="54">
        <v>66</v>
      </c>
      <c r="C2" s="54">
        <v>-14</v>
      </c>
      <c r="D2" s="54">
        <v>-22</v>
      </c>
      <c r="E2" s="54">
        <v>25</v>
      </c>
    </row>
    <row r="3" spans="1:7">
      <c r="A3" s="125"/>
      <c r="B3" s="54">
        <v>15</v>
      </c>
      <c r="C3" s="54">
        <v>17</v>
      </c>
      <c r="D3" s="54">
        <v>54</v>
      </c>
      <c r="E3" s="54">
        <v>-31</v>
      </c>
    </row>
    <row r="4" spans="1:7">
      <c r="A4" s="125"/>
      <c r="B4" s="54">
        <v>42</v>
      </c>
      <c r="C4" s="54">
        <v>-87</v>
      </c>
      <c r="D4" s="54">
        <v>26</v>
      </c>
      <c r="E4" s="54">
        <v>82</v>
      </c>
    </row>
    <row r="5" spans="1:7">
      <c r="A5" s="125"/>
      <c r="B5" s="44">
        <f>B2/B2</f>
        <v>1</v>
      </c>
      <c r="C5" s="47">
        <f>C2/$B$2</f>
        <v>-0.21212121212121213</v>
      </c>
      <c r="D5" s="47">
        <f>D2/$B$2</f>
        <v>-0.33333333333333331</v>
      </c>
      <c r="E5" s="47">
        <f>E2/$B$2</f>
        <v>0.37878787878787878</v>
      </c>
    </row>
    <row r="6" spans="1:7">
      <c r="A6" s="125" t="s">
        <v>51</v>
      </c>
      <c r="B6" s="41"/>
      <c r="C6" s="48">
        <f>C3-B3*$C$5</f>
        <v>20.181818181818183</v>
      </c>
      <c r="D6" s="48">
        <f>D3-B3*$D$5</f>
        <v>59</v>
      </c>
      <c r="E6" s="48">
        <f>E3-B3*$E$5</f>
        <v>-36.68181818181818</v>
      </c>
    </row>
    <row r="7" spans="1:7">
      <c r="A7" s="125"/>
      <c r="B7" s="41"/>
      <c r="C7" s="48">
        <f>C4-B4*$C$5</f>
        <v>-78.090909090909093</v>
      </c>
      <c r="D7" s="48">
        <f>D4-B4*$D$5</f>
        <v>40</v>
      </c>
      <c r="E7" s="48">
        <f>E4-B4*$E$5</f>
        <v>66.090909090909093</v>
      </c>
      <c r="F7" s="26"/>
    </row>
    <row r="8" spans="1:7">
      <c r="A8" s="125"/>
      <c r="B8" s="41"/>
      <c r="C8" s="44">
        <f>C6/C6</f>
        <v>1</v>
      </c>
      <c r="D8" s="47">
        <f>D6/C6</f>
        <v>2.9234234234234231</v>
      </c>
      <c r="E8" s="47">
        <f>E6/C6</f>
        <v>-1.8175675675675673</v>
      </c>
      <c r="F8" s="26"/>
    </row>
    <row r="9" spans="1:7">
      <c r="A9" s="125" t="s">
        <v>52</v>
      </c>
      <c r="B9" s="41"/>
      <c r="C9" s="41"/>
      <c r="D9" s="48">
        <f>D7-C7*D8</f>
        <v>268.29279279279274</v>
      </c>
      <c r="E9" s="48">
        <f>E7-C7*E8</f>
        <v>-75.844594594594582</v>
      </c>
      <c r="F9" s="26"/>
    </row>
    <row r="10" spans="1:7">
      <c r="A10" s="125"/>
      <c r="B10" s="41"/>
      <c r="C10" s="41"/>
      <c r="D10" s="44">
        <f>D9/D9</f>
        <v>1</v>
      </c>
      <c r="E10" s="47">
        <f>E9/D9</f>
        <v>-0.28269337318043686</v>
      </c>
      <c r="F10" s="26"/>
    </row>
    <row r="11" spans="1:7">
      <c r="A11" s="53"/>
      <c r="B11" s="53"/>
      <c r="C11" s="53"/>
      <c r="D11" s="53"/>
      <c r="E11" s="53"/>
      <c r="F11" s="26"/>
      <c r="G11" s="26"/>
    </row>
    <row r="12" spans="1:7">
      <c r="A12" s="125" t="s">
        <v>53</v>
      </c>
      <c r="B12" s="41"/>
      <c r="C12" s="41"/>
      <c r="D12" s="41">
        <v>1</v>
      </c>
      <c r="E12" s="55">
        <f>E10</f>
        <v>-0.28269337318043686</v>
      </c>
      <c r="F12" s="26" t="s">
        <v>47</v>
      </c>
    </row>
    <row r="13" spans="1:7">
      <c r="A13" s="125"/>
      <c r="B13" s="41"/>
      <c r="C13" s="41">
        <v>1</v>
      </c>
      <c r="D13" s="41"/>
      <c r="E13" s="55">
        <f>E8-D8*E12</f>
        <v>-0.99113513876529935</v>
      </c>
      <c r="F13" s="26" t="s">
        <v>46</v>
      </c>
    </row>
    <row r="14" spans="1:7">
      <c r="A14" s="125"/>
      <c r="B14" s="41">
        <v>1</v>
      </c>
      <c r="C14" s="41"/>
      <c r="D14" s="41"/>
      <c r="E14" s="55">
        <f>E5-D5*E12-C5*E13</f>
        <v>7.431596738357879E-2</v>
      </c>
      <c r="F14" s="26" t="s">
        <v>45</v>
      </c>
    </row>
    <row r="15" spans="1:7">
      <c r="A15" s="50"/>
      <c r="B15" s="51"/>
      <c r="C15" s="51"/>
      <c r="D15" s="51"/>
      <c r="E15" s="52"/>
      <c r="F15" s="26"/>
    </row>
    <row r="16" spans="1:7">
      <c r="F16" s="26"/>
    </row>
    <row r="17" spans="6:6">
      <c r="F17" s="26"/>
    </row>
    <row r="18" spans="6:6">
      <c r="F18" s="26"/>
    </row>
    <row r="19" spans="6:6">
      <c r="F19" s="26"/>
    </row>
  </sheetData>
  <mergeCells count="4">
    <mergeCell ref="A2:A5"/>
    <mergeCell ref="A6:A8"/>
    <mergeCell ref="A9:A10"/>
    <mergeCell ref="A12:A14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A1:H33"/>
  <sheetViews>
    <sheetView zoomScale="115" zoomScaleNormal="115" workbookViewId="0">
      <selection activeCell="F28" sqref="F28"/>
    </sheetView>
  </sheetViews>
  <sheetFormatPr defaultRowHeight="15"/>
  <cols>
    <col min="1" max="1" width="9.5703125" style="58" bestFit="1" customWidth="1"/>
    <col min="2" max="2" width="10.28515625" style="58" bestFit="1" customWidth="1"/>
    <col min="3" max="3" width="9.5703125" style="58" bestFit="1" customWidth="1"/>
    <col min="7" max="7" width="19.85546875" customWidth="1"/>
    <col min="8" max="8" width="25.140625" style="58" customWidth="1"/>
  </cols>
  <sheetData>
    <row r="1" spans="1:8">
      <c r="A1" s="127" t="s">
        <v>55</v>
      </c>
      <c r="B1" s="127"/>
      <c r="C1" s="127"/>
    </row>
    <row r="2" spans="1:8">
      <c r="A2" s="126" t="s">
        <v>50</v>
      </c>
      <c r="B2" s="126"/>
      <c r="C2" s="126"/>
      <c r="D2" s="59" t="s">
        <v>54</v>
      </c>
    </row>
    <row r="3" spans="1:8">
      <c r="A3" s="60">
        <v>7</v>
      </c>
      <c r="B3" s="60">
        <v>4</v>
      </c>
      <c r="C3" s="60">
        <v>-1</v>
      </c>
      <c r="D3" s="59">
        <v>7</v>
      </c>
    </row>
    <row r="4" spans="1:8">
      <c r="A4" s="60">
        <v>2</v>
      </c>
      <c r="B4" s="60">
        <v>6</v>
      </c>
      <c r="C4" s="60">
        <v>3</v>
      </c>
      <c r="D4" s="59">
        <v>-2</v>
      </c>
    </row>
    <row r="5" spans="1:8">
      <c r="A5" s="60">
        <v>-1</v>
      </c>
      <c r="B5" s="60">
        <v>1</v>
      </c>
      <c r="C5" s="60">
        <v>4</v>
      </c>
      <c r="D5" s="59">
        <v>4</v>
      </c>
    </row>
    <row r="6" spans="1:8">
      <c r="F6" t="s">
        <v>60</v>
      </c>
    </row>
    <row r="7" spans="1:8">
      <c r="A7" s="44" t="s">
        <v>45</v>
      </c>
      <c r="B7" s="44" t="s">
        <v>46</v>
      </c>
      <c r="C7" s="44" t="s">
        <v>47</v>
      </c>
      <c r="F7" s="62" t="s">
        <v>15</v>
      </c>
      <c r="G7" s="62">
        <v>1E-3</v>
      </c>
      <c r="H7" s="44" t="s">
        <v>59</v>
      </c>
    </row>
    <row r="8" spans="1:8">
      <c r="A8" s="56">
        <v>0</v>
      </c>
      <c r="B8" s="56">
        <v>0</v>
      </c>
      <c r="C8" s="56">
        <v>0</v>
      </c>
      <c r="D8" s="44" t="s">
        <v>56</v>
      </c>
      <c r="E8" s="44" t="s">
        <v>57</v>
      </c>
      <c r="F8" s="44" t="s">
        <v>58</v>
      </c>
      <c r="G8" s="56"/>
      <c r="H8" s="56">
        <v>0</v>
      </c>
    </row>
    <row r="9" spans="1:8">
      <c r="A9" s="48">
        <f>($D$3-$B$3*B8-$C$3*C8)/$A$3</f>
        <v>1</v>
      </c>
      <c r="B9" s="48">
        <f>($D$4-$A$4*A8-$C$4*C8)/$B$4</f>
        <v>-0.33333333333333331</v>
      </c>
      <c r="C9" s="48">
        <f>($D$5-$A$5*A8-$B$5*B8)/$C$5</f>
        <v>1</v>
      </c>
      <c r="D9" s="48">
        <f>ABS(A9-A8)</f>
        <v>1</v>
      </c>
      <c r="E9" s="48">
        <f t="shared" ref="E9:F24" si="0">ABS(B9-B8)</f>
        <v>0.33333333333333331</v>
      </c>
      <c r="F9" s="48">
        <f t="shared" si="0"/>
        <v>1</v>
      </c>
      <c r="G9" s="56" t="str">
        <f>IF(AND(D9&lt;$G$7,E9&lt;$G$7,F9&lt;$G$7),"выполнено","--")</f>
        <v>--</v>
      </c>
      <c r="H9" s="56">
        <v>1</v>
      </c>
    </row>
    <row r="10" spans="1:8">
      <c r="A10" s="48">
        <f t="shared" ref="A10:A33" si="1">($D$3-$B$3*B9-$C$3*C9)/$A$3</f>
        <v>1.3333333333333335</v>
      </c>
      <c r="B10" s="48">
        <f t="shared" ref="B10:B33" si="2">($D$4-$A$4*A9-$C$4*C9)/$B$4</f>
        <v>-1.1666666666666667</v>
      </c>
      <c r="C10" s="48">
        <f t="shared" ref="C10:C33" si="3">($D$5-$A$5*A9-$B$5*B9)/$C$5</f>
        <v>1.3333333333333333</v>
      </c>
      <c r="D10" s="48">
        <f t="shared" ref="D10:D33" si="4">ABS(A10-A9)</f>
        <v>0.33333333333333348</v>
      </c>
      <c r="E10" s="48">
        <f t="shared" si="0"/>
        <v>0.83333333333333348</v>
      </c>
      <c r="F10" s="48">
        <f t="shared" si="0"/>
        <v>0.33333333333333326</v>
      </c>
      <c r="G10" s="56" t="str">
        <f t="shared" ref="G10:G33" si="5">IF(AND(D10&lt;$G$7,E10&lt;$G$7,F10&lt;$G$7),"выполнено","--")</f>
        <v>--</v>
      </c>
      <c r="H10" s="56">
        <v>2</v>
      </c>
    </row>
    <row r="11" spans="1:8">
      <c r="A11" s="48">
        <f t="shared" si="1"/>
        <v>1.8571428571428574</v>
      </c>
      <c r="B11" s="48">
        <f t="shared" si="2"/>
        <v>-1.4444444444444446</v>
      </c>
      <c r="C11" s="48">
        <f t="shared" si="3"/>
        <v>1.6250000000000002</v>
      </c>
      <c r="D11" s="48">
        <f t="shared" si="4"/>
        <v>0.52380952380952395</v>
      </c>
      <c r="E11" s="48">
        <f t="shared" si="0"/>
        <v>0.2777777777777779</v>
      </c>
      <c r="F11" s="48">
        <f t="shared" si="0"/>
        <v>0.29166666666666696</v>
      </c>
      <c r="G11" s="56" t="str">
        <f t="shared" si="5"/>
        <v>--</v>
      </c>
      <c r="H11" s="56">
        <v>3</v>
      </c>
    </row>
    <row r="12" spans="1:8">
      <c r="A12" s="48">
        <f t="shared" si="1"/>
        <v>2.0575396825396828</v>
      </c>
      <c r="B12" s="48">
        <f t="shared" si="2"/>
        <v>-1.7648809523809526</v>
      </c>
      <c r="C12" s="48">
        <f t="shared" si="3"/>
        <v>1.8253968253968256</v>
      </c>
      <c r="D12" s="48">
        <f t="shared" si="4"/>
        <v>0.20039682539682535</v>
      </c>
      <c r="E12" s="48">
        <f t="shared" si="0"/>
        <v>0.32043650793650791</v>
      </c>
      <c r="F12" s="48">
        <f t="shared" si="0"/>
        <v>0.20039682539682535</v>
      </c>
      <c r="G12" s="56" t="str">
        <f t="shared" si="5"/>
        <v>--</v>
      </c>
      <c r="H12" s="56">
        <v>4</v>
      </c>
    </row>
    <row r="13" spans="1:8">
      <c r="A13" s="48">
        <f t="shared" si="1"/>
        <v>2.2692743764172336</v>
      </c>
      <c r="B13" s="48">
        <f t="shared" si="2"/>
        <v>-1.931878306878307</v>
      </c>
      <c r="C13" s="48">
        <f t="shared" si="3"/>
        <v>1.9556051587301588</v>
      </c>
      <c r="D13" s="48">
        <f t="shared" si="4"/>
        <v>0.21173469387755084</v>
      </c>
      <c r="E13" s="48">
        <f t="shared" si="0"/>
        <v>0.16699735449735442</v>
      </c>
      <c r="F13" s="48">
        <f t="shared" si="0"/>
        <v>0.13020833333333326</v>
      </c>
      <c r="G13" s="56" t="str">
        <f t="shared" si="5"/>
        <v>--</v>
      </c>
      <c r="H13" s="56">
        <v>5</v>
      </c>
    </row>
    <row r="14" spans="1:8">
      <c r="A14" s="48">
        <f t="shared" si="1"/>
        <v>2.3833026266061981</v>
      </c>
      <c r="B14" s="48">
        <f t="shared" si="2"/>
        <v>-2.0675607048374904</v>
      </c>
      <c r="C14" s="48">
        <f t="shared" si="3"/>
        <v>2.0502881708238849</v>
      </c>
      <c r="D14" s="48">
        <f t="shared" si="4"/>
        <v>0.11402825018896445</v>
      </c>
      <c r="E14" s="48">
        <f t="shared" si="0"/>
        <v>0.13568239795918347</v>
      </c>
      <c r="F14" s="48">
        <f t="shared" si="0"/>
        <v>9.4683012093726093E-2</v>
      </c>
      <c r="G14" s="56" t="str">
        <f t="shared" si="5"/>
        <v>--</v>
      </c>
      <c r="H14" s="56">
        <v>6</v>
      </c>
    </row>
    <row r="15" spans="1:8">
      <c r="A15" s="48">
        <f t="shared" si="1"/>
        <v>2.4743615700248354</v>
      </c>
      <c r="B15" s="48">
        <f t="shared" si="2"/>
        <v>-2.1529116276140083</v>
      </c>
      <c r="C15" s="48">
        <f t="shared" si="3"/>
        <v>2.1127158328609221</v>
      </c>
      <c r="D15" s="48">
        <f t="shared" si="4"/>
        <v>9.1058943418637295E-2</v>
      </c>
      <c r="E15" s="48">
        <f t="shared" si="0"/>
        <v>8.5350922776517901E-2</v>
      </c>
      <c r="F15" s="48">
        <f t="shared" si="0"/>
        <v>6.2427662037037202E-2</v>
      </c>
      <c r="G15" s="56" t="str">
        <f t="shared" si="5"/>
        <v>--</v>
      </c>
      <c r="H15" s="56">
        <v>7</v>
      </c>
    </row>
    <row r="16" spans="1:8">
      <c r="A16" s="48">
        <f t="shared" si="1"/>
        <v>2.5320517633309936</v>
      </c>
      <c r="B16" s="48">
        <f t="shared" si="2"/>
        <v>-2.2144784397720727</v>
      </c>
      <c r="C16" s="48">
        <f t="shared" si="3"/>
        <v>2.1568182994097107</v>
      </c>
      <c r="D16" s="48">
        <f t="shared" si="4"/>
        <v>5.7690193306158211E-2</v>
      </c>
      <c r="E16" s="48">
        <f t="shared" si="0"/>
        <v>6.1566812158064366E-2</v>
      </c>
      <c r="F16" s="48">
        <f t="shared" si="0"/>
        <v>4.4102466548788577E-2</v>
      </c>
      <c r="G16" s="56" t="str">
        <f t="shared" si="5"/>
        <v>--</v>
      </c>
      <c r="H16" s="56">
        <v>8</v>
      </c>
    </row>
    <row r="17" spans="1:8">
      <c r="A17" s="48">
        <f t="shared" si="1"/>
        <v>2.5735331512140003</v>
      </c>
      <c r="B17" s="48">
        <f t="shared" si="2"/>
        <v>-2.2557597374818532</v>
      </c>
      <c r="C17" s="48">
        <f t="shared" si="3"/>
        <v>2.1866325507757667</v>
      </c>
      <c r="D17" s="48">
        <f t="shared" si="4"/>
        <v>4.1481387883006704E-2</v>
      </c>
      <c r="E17" s="48">
        <f t="shared" si="0"/>
        <v>4.1281297709780507E-2</v>
      </c>
      <c r="F17" s="48">
        <f t="shared" si="0"/>
        <v>2.9814251366055977E-2</v>
      </c>
      <c r="G17" s="56" t="str">
        <f t="shared" si="5"/>
        <v>--</v>
      </c>
      <c r="H17" s="56">
        <v>9</v>
      </c>
    </row>
    <row r="18" spans="1:8">
      <c r="A18" s="48">
        <f t="shared" si="1"/>
        <v>2.6013816429575969</v>
      </c>
      <c r="B18" s="48">
        <f t="shared" si="2"/>
        <v>-2.2844939924592169</v>
      </c>
      <c r="C18" s="48">
        <f t="shared" si="3"/>
        <v>2.2073232221739634</v>
      </c>
      <c r="D18" s="48">
        <f t="shared" si="4"/>
        <v>2.7848491743596604E-2</v>
      </c>
      <c r="E18" s="48">
        <f t="shared" si="0"/>
        <v>2.8734254977363705E-2</v>
      </c>
      <c r="F18" s="48">
        <f t="shared" si="0"/>
        <v>2.0690671398196692E-2</v>
      </c>
      <c r="G18" s="56" t="str">
        <f t="shared" si="5"/>
        <v>--</v>
      </c>
      <c r="H18" s="56">
        <v>10</v>
      </c>
    </row>
    <row r="19" spans="1:8">
      <c r="A19" s="48">
        <f t="shared" si="1"/>
        <v>2.6207570274301184</v>
      </c>
      <c r="B19" s="48">
        <f t="shared" si="2"/>
        <v>-2.304122158739514</v>
      </c>
      <c r="C19" s="48">
        <f t="shared" si="3"/>
        <v>2.2214689088542032</v>
      </c>
      <c r="D19" s="48">
        <f t="shared" si="4"/>
        <v>1.9375384472521517E-2</v>
      </c>
      <c r="E19" s="48">
        <f t="shared" si="0"/>
        <v>1.9628166280297066E-2</v>
      </c>
      <c r="F19" s="48">
        <f t="shared" si="0"/>
        <v>1.4145686680239855E-2</v>
      </c>
      <c r="G19" s="56" t="str">
        <f t="shared" si="5"/>
        <v>--</v>
      </c>
      <c r="H19" s="56">
        <v>11</v>
      </c>
    </row>
    <row r="20" spans="1:8">
      <c r="A20" s="48">
        <f t="shared" si="1"/>
        <v>2.6339939348303223</v>
      </c>
      <c r="B20" s="48">
        <f t="shared" si="2"/>
        <v>-2.3176534635704744</v>
      </c>
      <c r="C20" s="48">
        <f t="shared" si="3"/>
        <v>2.2312197965424079</v>
      </c>
      <c r="D20" s="48">
        <f t="shared" si="4"/>
        <v>1.323690740020389E-2</v>
      </c>
      <c r="E20" s="48">
        <f t="shared" si="0"/>
        <v>1.3531304830960433E-2</v>
      </c>
      <c r="F20" s="48">
        <f t="shared" si="0"/>
        <v>9.7508876882046458E-3</v>
      </c>
      <c r="G20" s="56" t="str">
        <f t="shared" si="5"/>
        <v>--</v>
      </c>
      <c r="H20" s="56">
        <v>12</v>
      </c>
    </row>
    <row r="21" spans="1:8">
      <c r="A21" s="61">
        <f t="shared" si="1"/>
        <v>2.6431190929749007</v>
      </c>
      <c r="B21" s="61">
        <f t="shared" si="2"/>
        <v>-2.3269412098813116</v>
      </c>
      <c r="C21" s="61">
        <f t="shared" si="3"/>
        <v>2.2379118496001991</v>
      </c>
      <c r="D21" s="48">
        <f t="shared" si="4"/>
        <v>9.1251581445783714E-3</v>
      </c>
      <c r="E21" s="48">
        <f t="shared" si="0"/>
        <v>9.2877463108371749E-3</v>
      </c>
      <c r="F21" s="48">
        <f t="shared" si="0"/>
        <v>6.6920530577911919E-3</v>
      </c>
      <c r="G21" s="56" t="str">
        <f t="shared" si="5"/>
        <v>--</v>
      </c>
      <c r="H21" s="56">
        <v>13</v>
      </c>
    </row>
    <row r="22" spans="1:8">
      <c r="A22" s="48">
        <f t="shared" si="1"/>
        <v>2.649382384160778</v>
      </c>
      <c r="B22" s="48">
        <f t="shared" si="2"/>
        <v>-2.3333289557917332</v>
      </c>
      <c r="C22" s="48">
        <f t="shared" si="3"/>
        <v>2.2425150757140533</v>
      </c>
      <c r="D22" s="48">
        <f t="shared" si="4"/>
        <v>6.2632911858773177E-3</v>
      </c>
      <c r="E22" s="48">
        <f t="shared" si="0"/>
        <v>6.3877459104215717E-3</v>
      </c>
      <c r="F22" s="48">
        <f t="shared" si="0"/>
        <v>4.6032261138542196E-3</v>
      </c>
      <c r="G22" s="56" t="str">
        <f t="shared" si="5"/>
        <v>--</v>
      </c>
      <c r="H22" s="56">
        <v>14</v>
      </c>
    </row>
    <row r="23" spans="1:8">
      <c r="A23" s="48">
        <f t="shared" si="1"/>
        <v>2.6536901284115695</v>
      </c>
      <c r="B23" s="48">
        <f t="shared" si="2"/>
        <v>-2.3377183325772859</v>
      </c>
      <c r="C23" s="48">
        <f t="shared" si="3"/>
        <v>2.2456778349881277</v>
      </c>
      <c r="D23" s="48">
        <f t="shared" si="4"/>
        <v>4.3077442507915009E-3</v>
      </c>
      <c r="E23" s="48">
        <f t="shared" si="0"/>
        <v>4.3893767855527344E-3</v>
      </c>
      <c r="F23" s="48">
        <f t="shared" si="0"/>
        <v>3.1627592740743893E-3</v>
      </c>
      <c r="G23" s="56" t="str">
        <f t="shared" si="5"/>
        <v>--</v>
      </c>
      <c r="H23" s="56">
        <v>15</v>
      </c>
    </row>
    <row r="24" spans="1:8">
      <c r="A24" s="48">
        <f t="shared" si="1"/>
        <v>2.6566501664710387</v>
      </c>
      <c r="B24" s="48">
        <f t="shared" si="2"/>
        <v>-2.3407356269645869</v>
      </c>
      <c r="C24" s="48">
        <f t="shared" si="3"/>
        <v>2.247852115247214</v>
      </c>
      <c r="D24" s="48">
        <f t="shared" si="4"/>
        <v>2.9600380594692055E-3</v>
      </c>
      <c r="E24" s="48">
        <f t="shared" si="0"/>
        <v>3.0172943873010283E-3</v>
      </c>
      <c r="F24" s="48">
        <f t="shared" si="0"/>
        <v>2.1742802590862809E-3</v>
      </c>
      <c r="G24" s="56" t="str">
        <f t="shared" si="5"/>
        <v>--</v>
      </c>
      <c r="H24" s="56">
        <v>16</v>
      </c>
    </row>
    <row r="25" spans="1:8">
      <c r="A25" s="48">
        <f t="shared" si="1"/>
        <v>2.6586849461579374</v>
      </c>
      <c r="B25" s="48">
        <f t="shared" si="2"/>
        <v>-2.3428094464472866</v>
      </c>
      <c r="C25" s="48">
        <f t="shared" si="3"/>
        <v>2.2493464483589065</v>
      </c>
      <c r="D25" s="48">
        <f t="shared" si="4"/>
        <v>2.0347796868986912E-3</v>
      </c>
      <c r="E25" s="48">
        <f t="shared" ref="E25:E33" si="6">ABS(B25-B24)</f>
        <v>2.0738194826996903E-3</v>
      </c>
      <c r="F25" s="48">
        <f t="shared" ref="F25:F33" si="7">ABS(C25-C24)</f>
        <v>1.4943331116925584E-3</v>
      </c>
      <c r="G25" s="56" t="str">
        <f t="shared" si="5"/>
        <v>--</v>
      </c>
      <c r="H25" s="56">
        <v>17</v>
      </c>
    </row>
    <row r="26" spans="1:8">
      <c r="A26" s="48">
        <f t="shared" si="1"/>
        <v>2.6600834620211509</v>
      </c>
      <c r="B26" s="48">
        <f t="shared" si="2"/>
        <v>-2.3442348728987654</v>
      </c>
      <c r="C26" s="48">
        <f t="shared" si="3"/>
        <v>2.250373598151306</v>
      </c>
      <c r="D26" s="48">
        <f t="shared" si="4"/>
        <v>1.3985158632134898E-3</v>
      </c>
      <c r="E26" s="48">
        <f t="shared" si="6"/>
        <v>1.4254264514788062E-3</v>
      </c>
      <c r="F26" s="48">
        <f t="shared" si="7"/>
        <v>1.0271497923994843E-3</v>
      </c>
      <c r="G26" s="56" t="str">
        <f t="shared" si="5"/>
        <v>--</v>
      </c>
      <c r="H26" s="56">
        <v>18</v>
      </c>
    </row>
    <row r="27" spans="1:8">
      <c r="A27" s="55">
        <f t="shared" si="1"/>
        <v>2.6610447271066238</v>
      </c>
      <c r="B27" s="55">
        <f t="shared" si="2"/>
        <v>-2.34521461974937</v>
      </c>
      <c r="C27" s="55">
        <f t="shared" si="3"/>
        <v>2.2510795837299789</v>
      </c>
      <c r="D27" s="48">
        <f t="shared" si="4"/>
        <v>9.6126508547289546E-4</v>
      </c>
      <c r="E27" s="48">
        <f t="shared" si="6"/>
        <v>9.7974685060453481E-4</v>
      </c>
      <c r="F27" s="48">
        <f t="shared" si="7"/>
        <v>7.0598557867285194E-4</v>
      </c>
      <c r="G27" s="56" t="str">
        <f t="shared" si="5"/>
        <v>выполнено</v>
      </c>
      <c r="H27" s="56">
        <v>19</v>
      </c>
    </row>
    <row r="28" spans="1:8">
      <c r="A28" s="48">
        <f t="shared" si="1"/>
        <v>2.6617054375324942</v>
      </c>
      <c r="B28" s="48">
        <f t="shared" si="2"/>
        <v>-2.3458880342338642</v>
      </c>
      <c r="C28" s="48">
        <f t="shared" si="3"/>
        <v>2.2515648367139987</v>
      </c>
      <c r="D28" s="48">
        <f t="shared" si="4"/>
        <v>6.6071042587045881E-4</v>
      </c>
      <c r="E28" s="48">
        <f t="shared" si="6"/>
        <v>6.7341448449420582E-4</v>
      </c>
      <c r="F28" s="48">
        <f t="shared" si="7"/>
        <v>4.8525298401980166E-4</v>
      </c>
      <c r="G28" s="56" t="str">
        <f t="shared" si="5"/>
        <v>выполнено</v>
      </c>
      <c r="H28" s="56">
        <v>20</v>
      </c>
    </row>
    <row r="29" spans="1:8">
      <c r="A29" s="48">
        <f t="shared" si="1"/>
        <v>2.662159567664208</v>
      </c>
      <c r="B29" s="48">
        <f t="shared" si="2"/>
        <v>-2.3463508975344975</v>
      </c>
      <c r="C29" s="48">
        <f t="shared" si="3"/>
        <v>2.2518983679415898</v>
      </c>
      <c r="D29" s="48">
        <f t="shared" si="4"/>
        <v>4.5413013171380356E-4</v>
      </c>
      <c r="E29" s="48">
        <f t="shared" si="6"/>
        <v>4.628633006333871E-4</v>
      </c>
      <c r="F29" s="48">
        <f t="shared" si="7"/>
        <v>3.3353122759116616E-4</v>
      </c>
      <c r="G29" s="56" t="str">
        <f t="shared" si="5"/>
        <v>выполнено</v>
      </c>
      <c r="H29" s="56">
        <v>21</v>
      </c>
    </row>
    <row r="30" spans="1:8">
      <c r="A30" s="48">
        <f t="shared" si="1"/>
        <v>2.6624717082970828</v>
      </c>
      <c r="B30" s="48">
        <f t="shared" si="2"/>
        <v>-2.3466690398588645</v>
      </c>
      <c r="C30" s="48">
        <f t="shared" si="3"/>
        <v>2.2521276162996764</v>
      </c>
      <c r="D30" s="48">
        <f t="shared" si="4"/>
        <v>3.121406328747689E-4</v>
      </c>
      <c r="E30" s="48">
        <f t="shared" si="6"/>
        <v>3.1814232436699896E-4</v>
      </c>
      <c r="F30" s="48">
        <f t="shared" si="7"/>
        <v>2.2924835808657562E-4</v>
      </c>
      <c r="G30" s="56" t="str">
        <f t="shared" si="5"/>
        <v>выполнено</v>
      </c>
      <c r="H30" s="56">
        <v>22</v>
      </c>
    </row>
    <row r="31" spans="1:8">
      <c r="A31" s="48">
        <f t="shared" si="1"/>
        <v>2.6626862536764482</v>
      </c>
      <c r="B31" s="48">
        <f t="shared" si="2"/>
        <v>-2.3468877109155328</v>
      </c>
      <c r="C31" s="48">
        <f t="shared" si="3"/>
        <v>2.2522851870389871</v>
      </c>
      <c r="D31" s="48">
        <f t="shared" si="4"/>
        <v>2.1454537936538287E-4</v>
      </c>
      <c r="E31" s="48">
        <f t="shared" si="6"/>
        <v>2.1867105666828479E-4</v>
      </c>
      <c r="F31" s="48">
        <f t="shared" si="7"/>
        <v>1.5757073931066401E-4</v>
      </c>
      <c r="G31" s="56" t="str">
        <f t="shared" si="5"/>
        <v>выполнено</v>
      </c>
      <c r="H31" s="56">
        <v>23</v>
      </c>
    </row>
    <row r="32" spans="1:8">
      <c r="A32" s="48">
        <f t="shared" si="1"/>
        <v>2.6628337186715885</v>
      </c>
      <c r="B32" s="48">
        <f t="shared" si="2"/>
        <v>-2.3470380114116427</v>
      </c>
      <c r="C32" s="48">
        <f t="shared" si="3"/>
        <v>2.2523934911479953</v>
      </c>
      <c r="D32" s="48">
        <f t="shared" si="4"/>
        <v>1.4746499514028955E-4</v>
      </c>
      <c r="E32" s="48">
        <f t="shared" si="6"/>
        <v>1.5030049610986751E-4</v>
      </c>
      <c r="F32" s="48">
        <f t="shared" si="7"/>
        <v>1.0830410900819487E-4</v>
      </c>
      <c r="G32" s="56" t="str">
        <f t="shared" si="5"/>
        <v>выполнено</v>
      </c>
      <c r="H32" s="56">
        <v>24</v>
      </c>
    </row>
    <row r="33" spans="1:8">
      <c r="A33" s="48">
        <f t="shared" si="1"/>
        <v>2.662935076684938</v>
      </c>
      <c r="B33" s="48">
        <f t="shared" si="2"/>
        <v>-2.3471413184645269</v>
      </c>
      <c r="C33" s="48">
        <f t="shared" si="3"/>
        <v>2.2524679325208079</v>
      </c>
      <c r="D33" s="48">
        <f t="shared" si="4"/>
        <v>1.0135801334953953E-4</v>
      </c>
      <c r="E33" s="48">
        <f t="shared" si="6"/>
        <v>1.0330705288419395E-4</v>
      </c>
      <c r="F33" s="48">
        <f t="shared" si="7"/>
        <v>7.4441372812650286E-5</v>
      </c>
      <c r="G33" s="56" t="str">
        <f t="shared" si="5"/>
        <v>выполнено</v>
      </c>
      <c r="H33" s="56">
        <v>25</v>
      </c>
    </row>
  </sheetData>
  <mergeCells count="2">
    <mergeCell ref="A2:C2"/>
    <mergeCell ref="A1:C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26</vt:i4>
      </vt:variant>
    </vt:vector>
  </HeadingPairs>
  <TitlesOfParts>
    <vt:vector size="26" baseType="lpstr">
      <vt:lpstr>отделение корня</vt:lpstr>
      <vt:lpstr>делен пополам</vt:lpstr>
      <vt:lpstr>метод итераций</vt:lpstr>
      <vt:lpstr>метод хорд</vt:lpstr>
      <vt:lpstr>касательных</vt:lpstr>
      <vt:lpstr>метод гаусса 4 порядка</vt:lpstr>
      <vt:lpstr>гаусса 3 порядка</vt:lpstr>
      <vt:lpstr>гаусса 3 порядка (2)</vt:lpstr>
      <vt:lpstr>метод якоби</vt:lpstr>
      <vt:lpstr>метод зейделя</vt:lpstr>
      <vt:lpstr>метод зейделя (2)</vt:lpstr>
      <vt:lpstr>метод якоби (2)</vt:lpstr>
      <vt:lpstr>лагранжа</vt:lpstr>
      <vt:lpstr>ньютона</vt:lpstr>
      <vt:lpstr>лагранжа (2)</vt:lpstr>
      <vt:lpstr>ньютона (2)</vt:lpstr>
      <vt:lpstr>метод трапеций (10)</vt:lpstr>
      <vt:lpstr>метод трапеций (20)</vt:lpstr>
      <vt:lpstr>метод трапеций (2) (10)</vt:lpstr>
      <vt:lpstr>метод трапеций (2) (20)</vt:lpstr>
      <vt:lpstr>Метод гаусса</vt:lpstr>
      <vt:lpstr>Метод гаусса (2)</vt:lpstr>
      <vt:lpstr>Метод Эйлера</vt:lpstr>
      <vt:lpstr>Барон</vt:lpstr>
      <vt:lpstr>Барон уточн Эйлера</vt:lpstr>
      <vt:lpstr>Барон уточн Эйлера (2)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user0307</dc:creator>
  <cp:lastModifiedBy>0307</cp:lastModifiedBy>
  <cp:revision>1</cp:revision>
  <dcterms:created xsi:type="dcterms:W3CDTF">2022-09-27T06:35:26Z</dcterms:created>
  <dcterms:modified xsi:type="dcterms:W3CDTF">2025-12-06T12:57:32Z</dcterms:modified>
  <dc:language>ru-RU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12.0000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